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<sst xmlns="http://schemas.openxmlformats.org/spreadsheetml/2006/main" count="9237" uniqueCount="840">
  <si>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</si>
  <si>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</si>
  <si>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</si>
  <si>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</si>
  <si>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</si>
  <si>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</si>
  <si>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</si>
  <si>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</si>
  <si>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</si>
  <si>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</si>
  <si>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</si>
  <si>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</si>
  <si>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</si>
  <si>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</si>
  <si>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</si>
  <si>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</si>
  <si>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</si>
  <si>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ROSN</t>
  </si>
  <si>
    <t>share</t>
  </si>
  <si>
    <t>Роснефть</t>
  </si>
  <si>
    <t>RUR</t>
  </si>
  <si>
    <t>AMD</t>
  </si>
  <si>
    <t>SBER</t>
  </si>
  <si>
    <t>Сбербанк</t>
  </si>
  <si>
    <t>BYN</t>
  </si>
  <si>
    <t>NMTP</t>
  </si>
  <si>
    <t>НМТП ао</t>
  </si>
  <si>
    <t>CAD</t>
  </si>
  <si>
    <t>SVCB</t>
  </si>
  <si>
    <t>Совкомбанк</t>
  </si>
  <si>
    <t>CHF</t>
  </si>
  <si>
    <t>MGNT</t>
  </si>
  <si>
    <t>Магнит ао</t>
  </si>
  <si>
    <t>CNY</t>
  </si>
  <si>
    <t>LKOH</t>
  </si>
  <si>
    <t>ЛУКОЙЛ</t>
  </si>
  <si>
    <t>EUR</t>
  </si>
  <si>
    <t>GMKN</t>
  </si>
  <si>
    <t>ГМКНорНик</t>
  </si>
  <si>
    <t>GBP</t>
  </si>
  <si>
    <t>SIBN</t>
  </si>
  <si>
    <t>Газпрнефть</t>
  </si>
  <si>
    <t>GLD</t>
  </si>
  <si>
    <t>NVTK</t>
  </si>
  <si>
    <t>Новатэк ао</t>
  </si>
  <si>
    <t>HKD</t>
  </si>
  <si>
    <t>GEMC</t>
  </si>
  <si>
    <t>МКПАО ЮМГ</t>
  </si>
  <si>
    <t>JPY</t>
  </si>
  <si>
    <t>SNGS</t>
  </si>
  <si>
    <t>Сургнфгз</t>
  </si>
  <si>
    <t>KZT</t>
  </si>
  <si>
    <t>SNGSP</t>
  </si>
  <si>
    <t>Сургнфгз-п</t>
  </si>
  <si>
    <t>UGLD</t>
  </si>
  <si>
    <t>ЮГК</t>
  </si>
  <si>
    <t>SLV</t>
  </si>
  <si>
    <t>LENT</t>
  </si>
  <si>
    <t>Лента ао</t>
  </si>
  <si>
    <t>TRY</t>
  </si>
  <si>
    <t>AFKS</t>
  </si>
  <si>
    <t>Система ао</t>
  </si>
  <si>
    <t>UAH</t>
  </si>
  <si>
    <t>FESH</t>
  </si>
  <si>
    <t>ДВМП ао</t>
  </si>
  <si>
    <t>USD</t>
  </si>
  <si>
    <t>ELMT</t>
  </si>
  <si>
    <t>Элемент</t>
  </si>
  <si>
    <t>TRNFP</t>
  </si>
  <si>
    <t>Транснф ап</t>
  </si>
  <si>
    <t>NLMK</t>
  </si>
  <si>
    <t>НЛМК ао</t>
  </si>
  <si>
    <t>AQUA</t>
  </si>
  <si>
    <t>ИНАРКТИКА</t>
  </si>
  <si>
    <t>ALRS</t>
  </si>
  <si>
    <t>АЛРОСА ао</t>
  </si>
  <si>
    <t>MOEX</t>
  </si>
  <si>
    <t>МосБиржа</t>
  </si>
  <si>
    <t>IVAT</t>
  </si>
  <si>
    <t>iИВА</t>
  </si>
  <si>
    <t>UPRO</t>
  </si>
  <si>
    <t>Юнипро ао</t>
  </si>
  <si>
    <t>RTKM</t>
  </si>
  <si>
    <t>Ростел -ао</t>
  </si>
  <si>
    <t>GAZP</t>
  </si>
  <si>
    <t>ГАЗПРОМ ао</t>
  </si>
  <si>
    <t>POSI</t>
  </si>
  <si>
    <t>iПозитив</t>
  </si>
  <si>
    <t>IRAO</t>
  </si>
  <si>
    <t>ИнтерРАОао</t>
  </si>
  <si>
    <t>ASTR</t>
  </si>
  <si>
    <t>Астра ао</t>
  </si>
  <si>
    <t>LEAS</t>
  </si>
  <si>
    <t>Европлан</t>
  </si>
  <si>
    <t>TRMK</t>
  </si>
  <si>
    <t>ТМК ао</t>
  </si>
  <si>
    <t>SFIN</t>
  </si>
  <si>
    <t>ЭсЭфАй ао</t>
  </si>
  <si>
    <t>CHMF</t>
  </si>
  <si>
    <t>СевСт-ао</t>
  </si>
  <si>
    <t>FEES</t>
  </si>
  <si>
    <t>Россети</t>
  </si>
  <si>
    <t>SELG</t>
  </si>
  <si>
    <t>Селигдар</t>
  </si>
  <si>
    <t>LSRG</t>
  </si>
  <si>
    <t>ЛСР ао</t>
  </si>
  <si>
    <t>PIKK</t>
  </si>
  <si>
    <t>ПИК ао</t>
  </si>
  <si>
    <t>RUAL</t>
  </si>
  <si>
    <t>РУСАЛ ао</t>
  </si>
  <si>
    <t>DSKY</t>
  </si>
  <si>
    <t>ДетскийМир</t>
  </si>
  <si>
    <t>WUSH</t>
  </si>
  <si>
    <t>iВУШХолднг</t>
  </si>
  <si>
    <t>MAGN</t>
  </si>
  <si>
    <t>ММК</t>
  </si>
  <si>
    <t>MTLR</t>
  </si>
  <si>
    <t>Мечел ао</t>
  </si>
  <si>
    <t>MVID</t>
  </si>
  <si>
    <t>М.видео</t>
  </si>
  <si>
    <t>SGZH</t>
  </si>
  <si>
    <t>Сегежа</t>
  </si>
  <si>
    <t>Сумма по акциям:</t>
  </si>
  <si>
    <t>CNYM</t>
  </si>
  <si>
    <t>etf</t>
  </si>
  <si>
    <t>CNYM ETF</t>
  </si>
  <si>
    <t>OBLG</t>
  </si>
  <si>
    <t>OBLG ETF</t>
  </si>
  <si>
    <t>GOLD</t>
  </si>
  <si>
    <t>GOLD ETF</t>
  </si>
  <si>
    <t>средняя 1,045</t>
  </si>
  <si>
    <t>EQMX</t>
  </si>
  <si>
    <t>EQMX ETF</t>
  </si>
  <si>
    <t>LQDT</t>
  </si>
  <si>
    <t>LQDT ETF</t>
  </si>
  <si>
    <t>Сумма по фондам:</t>
  </si>
  <si>
    <t>SU26238RMFS4</t>
  </si>
  <si>
    <t>bond</t>
  </si>
  <si>
    <t>ОФЗ 26238</t>
  </si>
  <si>
    <t>2041-05-15</t>
  </si>
  <si>
    <t>SU26240RMFS0</t>
  </si>
  <si>
    <t>ОФЗ 26240</t>
  </si>
  <si>
    <t>2036-07-30</t>
  </si>
  <si>
    <t>SU26243RMFS4</t>
  </si>
  <si>
    <t>ОФЗ 26243</t>
  </si>
  <si>
    <t>2038-05-19</t>
  </si>
  <si>
    <t>SU26244RMFS2</t>
  </si>
  <si>
    <t>ОФЗ 26244</t>
  </si>
  <si>
    <t>2034-03-15</t>
  </si>
  <si>
    <t>SU26221RMFS0</t>
  </si>
  <si>
    <t>ОФЗ 26221</t>
  </si>
  <si>
    <t>2033-03-23</t>
  </si>
  <si>
    <t>SU26246RMFS7</t>
  </si>
  <si>
    <t>ОФЗ 26246</t>
  </si>
  <si>
    <t>2036-03-12</t>
  </si>
  <si>
    <t>RU000A1061K1</t>
  </si>
  <si>
    <t>ЕвроТранс3</t>
  </si>
  <si>
    <t>2027-03-14</t>
  </si>
  <si>
    <t>SU26237RMFS6</t>
  </si>
  <si>
    <t>ОФЗ 26237</t>
  </si>
  <si>
    <t>2029-03-14</t>
  </si>
  <si>
    <t>SU26241RMFS8</t>
  </si>
  <si>
    <t>ОФЗ 26241</t>
  </si>
  <si>
    <t>2032-11-17</t>
  </si>
  <si>
    <t>SU26247RMFS5</t>
  </si>
  <si>
    <t>ОФЗ 26247</t>
  </si>
  <si>
    <t>2039-05-11</t>
  </si>
  <si>
    <t>SU26248RMFS3</t>
  </si>
  <si>
    <t>ОФЗ 26248</t>
  </si>
  <si>
    <t>2040-05-16</t>
  </si>
  <si>
    <t>RU000A106EZ0</t>
  </si>
  <si>
    <t>ВИС Ф БП04</t>
  </si>
  <si>
    <t>2026-08-25</t>
  </si>
  <si>
    <t>RU000A1017J5</t>
  </si>
  <si>
    <t>Газпнф3P2R</t>
  </si>
  <si>
    <t>2029-12-07</t>
  </si>
  <si>
    <t>SU26219RMFS4</t>
  </si>
  <si>
    <t>ОФЗ 26219</t>
  </si>
  <si>
    <t>2026-09-16</t>
  </si>
  <si>
    <t>SU26229RMFS3</t>
  </si>
  <si>
    <t>ОФЗ 26229</t>
  </si>
  <si>
    <t>2025-11-12</t>
  </si>
  <si>
    <t>RU000A101CL5</t>
  </si>
  <si>
    <t>ФСК ЕЭС1Р4</t>
  </si>
  <si>
    <t>2035-01-11</t>
  </si>
  <si>
    <t>SU26236RMFS8</t>
  </si>
  <si>
    <t>ОФЗ 26236</t>
  </si>
  <si>
    <t>2028-05-17</t>
  </si>
  <si>
    <t>RU000A106UW3</t>
  </si>
  <si>
    <t>iКарРус1P3</t>
  </si>
  <si>
    <t>2027-08-18</t>
  </si>
  <si>
    <t>RU000A0JWYJ0</t>
  </si>
  <si>
    <t>Самолет 01</t>
  </si>
  <si>
    <t>2026-10-30</t>
  </si>
  <si>
    <t>RU000A1077X0</t>
  </si>
  <si>
    <t>ИнтЛиз1Р07</t>
  </si>
  <si>
    <t>2026-10-31</t>
  </si>
  <si>
    <t>RU000A102SX4</t>
  </si>
  <si>
    <t>Систем1P19</t>
  </si>
  <si>
    <t>2031-02-17</t>
  </si>
  <si>
    <t>RU000A105KR6</t>
  </si>
  <si>
    <t>ВСК 1P-03R</t>
  </si>
  <si>
    <t>2027-11-30</t>
  </si>
  <si>
    <t>RU000A105VU7</t>
  </si>
  <si>
    <t>ЭталонФин1</t>
  </si>
  <si>
    <t>2038-02-03</t>
  </si>
  <si>
    <t>RU000A1055Y4</t>
  </si>
  <si>
    <t>ПочтаР2P04</t>
  </si>
  <si>
    <t>2032-08-25</t>
  </si>
  <si>
    <t>RU000A106631</t>
  </si>
  <si>
    <t>АПРИФП 2Р2</t>
  </si>
  <si>
    <t>2027-04-22</t>
  </si>
  <si>
    <t>RU000A106HB4</t>
  </si>
  <si>
    <t>iВУШ 1P2</t>
  </si>
  <si>
    <t>2026-07-02</t>
  </si>
  <si>
    <t>RU000A106R79</t>
  </si>
  <si>
    <t>ЭНИКА 1Р04</t>
  </si>
  <si>
    <t>2028-08-10</t>
  </si>
  <si>
    <t>RU000A104693</t>
  </si>
  <si>
    <t>Систем1P23</t>
  </si>
  <si>
    <t>2031-11-21</t>
  </si>
  <si>
    <t>RU000A1032P1</t>
  </si>
  <si>
    <t>ВТБРКС01</t>
  </si>
  <si>
    <t>2030-12-01</t>
  </si>
  <si>
    <t>RU000A105PR5</t>
  </si>
  <si>
    <t>ИЭКХолд1Р1</t>
  </si>
  <si>
    <t>2025-12-23</t>
  </si>
  <si>
    <t>RU000A106R95</t>
  </si>
  <si>
    <t>iСелкт1Р3R</t>
  </si>
  <si>
    <t>2026-08-14</t>
  </si>
  <si>
    <t>RU000A0ZZ893</t>
  </si>
  <si>
    <t>КАМАЗ БО11</t>
  </si>
  <si>
    <t>2033-05-10</t>
  </si>
  <si>
    <t>RU000A105G99</t>
  </si>
  <si>
    <t>РКСЭталон1</t>
  </si>
  <si>
    <t>2030-04-02</t>
  </si>
  <si>
    <t>RU000A101RJ7</t>
  </si>
  <si>
    <t>МБЭС 1P-02</t>
  </si>
  <si>
    <t>2030-06-03</t>
  </si>
  <si>
    <t>RU000A1058M3</t>
  </si>
  <si>
    <t>БалтЛизБП6</t>
  </si>
  <si>
    <t>2025-09-24</t>
  </si>
  <si>
    <t>RU000A0ZYAP9</t>
  </si>
  <si>
    <t>ГТЛК 1P-06</t>
  </si>
  <si>
    <t>2032-09-01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</si>
  <si>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</si>
  <si>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</si>
  <si>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</si>
  <si>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</si>
  <si>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</si>
  <si>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</si>
  <si>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</si>
  <si>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</si>
  <si>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</si>
  <si>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</si>
  <si>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</si>
  <si>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</si>
  <si>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</si>
  <si>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POSI - iПозитив 1шт. по 14.4 RUR - налог 2 RUR (данные из БД)</t>
  </si>
  <si>
    <t>Дивиденд по IRAO - ИнтерРАОао 100шт. по 0.24 RUR - налог 3 RUR (данные из БД)</t>
  </si>
  <si>
    <t>Дивиденд по ROSN - Роснефть 1шт. по 23.63 RUR - налог 3 RUR (данные из БД)</t>
  </si>
  <si>
    <t>Дивиденд по SNGSP - Сургнфгз-п 100шт. по 4.73 RUR - налог 61 RUR (данные из БД)</t>
  </si>
  <si>
    <t>Купон по RU000A101RP4 - Казахст01 1шт. по 26.93 RUR - налог 4 RUR (данные из БД)</t>
  </si>
  <si>
    <t>Дивиденд по GAZP - ГАЗПРОМ ао 10шт. по 51.03 RUR - налог 66 RUR (данные из БД)</t>
  </si>
  <si>
    <t>Дивиденд по RUAL - РУСАЛ ао 20шт. по 1.21 RUR - налог 3 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</si>
  <si>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</si>
  <si>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</si>
  <si>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ROSN - Роснефть 2шт. по 20.39 RUR - налог 5 RUR (данные из БД)</t>
  </si>
  <si>
    <t>Дивиденд по SBERP - Сбербанк-п 10шт. по 25 RUR - налог 33 RUR (данные из БД)</t>
  </si>
  <si>
    <t>Дивиденд по IRAO - ИнтерРАОао 200шт. по 0.28 RUR - налог 7 RUR (данные из БД)</t>
  </si>
  <si>
    <t>Дивиденд по LKOH - ЛУКОЙЛ 1шт. по 438 RUR - налог 57 RUR (данные из БД)</t>
  </si>
  <si>
    <t>Купон по RU000A101RJ7 - МБЭС 1P-02 1шт. по 30.92 RUR - налог 4 RUR (данные из БД)</t>
  </si>
  <si>
    <t>Дивиденд по MOEX - МосБиржа 10шт. по 4.84 RUR - налог 6 RUR (данные из БД)</t>
  </si>
  <si>
    <t>Дивиденд по LSRG - ЛСР ао 1шт. по 78 RUR - налог 10 RUR (данные из БД)</t>
  </si>
  <si>
    <t>Дивиденд по AQUA - ИНАРКТИКА 4шт. по 10 RUR - налог 5 RUR (данные из БД)</t>
  </si>
  <si>
    <t>Дивиденд по ROSN - Роснефть 2шт. по 17.97 RUR - налог 5 RUR (данные из БД)</t>
  </si>
  <si>
    <t>Дивиденд по AFKS - Система ао 200шт. по 0.41 RUR - налог 11 RUR (данные из БД)</t>
  </si>
  <si>
    <t>Дивиденд по SNGSP - Сургнфгз-п 100шт. по 0.8 RUR - налог 10 RUR (данные из БД)</t>
  </si>
  <si>
    <t>Дивиденд по AQUA - ИНАРКТИКА 4шт. по 16 RUR - налог 8 RUR (данные из БД)</t>
  </si>
  <si>
    <t>Дивиденд по ALRS - АЛРОСА ао 40шт. по 3.77 RUR - налог 20 RUR (данные из БД)</t>
  </si>
  <si>
    <t>Дивиденд по SELG - Селигдар 20шт. по 2 RUR - налог 5 RUR (данные из БД)</t>
  </si>
  <si>
    <t>Дивиденд по AQUA - ИНАРКТИКА 4шт. по 19 RUR - налог 10 RUR (данные из БД)</t>
  </si>
  <si>
    <t>Дивиденд по LKOH - ЛУКОЙЛ 1шт. по 447 RUR - налог 58 RUR (данные из БД)</t>
  </si>
  <si>
    <t>Купон по RU000A1061K1 - ЕвроТранс3 3шт. по 11.18 RUR - налог 4 RUR (данные из БД)</t>
  </si>
  <si>
    <t>Купон по RU000A106UW3 - iКарРус1P3 1шт. по 11.26 RUR - налог 1 RUR (данные из БД)</t>
  </si>
  <si>
    <t>Купон по RU000A105QL6 - КЛС БО-02 2шт. по 44.88 RUR - налог 12 RUR (данные из БД)</t>
  </si>
  <si>
    <t>Дивиденд по ROSN - Роснефть 3шт. по 30.77 RUR - налог 12 RUR (данные из БД)</t>
  </si>
  <si>
    <t>Купон по RU000A107E08 - ИЭКХолд1Р2 3шт. по 13.36 RUR - налог 5 RUR (данные из БД)</t>
  </si>
  <si>
    <t>Купон по RU000A106631 - АПРИФП 2Р2 2шт. по 44.88 RUR - налог 12 RUR (данные из БД)</t>
  </si>
  <si>
    <t>Прочий доход</t>
  </si>
  <si>
    <t>Купон по RU000A106862 - ГарИнв2P06 2шт. по 10.68 RUR - налог 3 RUR (данные из БД)</t>
  </si>
  <si>
    <t>Купон по RU000A1077X0 - ИнтЛиз1Р07 5шт. по 13.15 RUR - налог 9 RUR (данные из БД)</t>
  </si>
  <si>
    <t>Купон по RU000A106R79 - ЭНИКА 1Р04 5шт. по 39.89 RUR - налог 26 RUR (данные из БД)</t>
  </si>
  <si>
    <t>Купон по RU000A106R95 - iСелкт1Р3R 2шт. по 66.32 RUR - налог 17 RUR (данные из БД)</t>
  </si>
  <si>
    <t>Купон по RU000A105VP7 - РКК БО-01 2шт. по 47.37 RUR - налог 12 RUR (данные из БД)</t>
  </si>
  <si>
    <t>Купон по RU000A105VU7 - ЭталонФин1 4шт. по 34.16 RUR - налог 18 RUR (данные из БД)</t>
  </si>
  <si>
    <t>Купон по RU000A102SX4 - Систем1P19 5шт. по 18.32 RUR - налог 12 RUR (данные из БД)</t>
  </si>
  <si>
    <t>Купон по RU000A104693 - Систем1P23 3шт. по 24.81 RUR - налог 10 RUR (данные из БД)</t>
  </si>
  <si>
    <t>Купон по RU000A1032P1 - ВТБРКС01 7шт. по 6.36 RUR - налог 6 RUR (данные из БД)</t>
  </si>
  <si>
    <t>Купон по RU000A1055Y4 - ПочтаР2P04 5шт. по 46.12 RUR - налог 30 RUR (данные из БД)</t>
  </si>
  <si>
    <t>Амортизация ГТЛК 1P-06: 1 шт. по 15.09 RUR.  (данные из БД)</t>
  </si>
  <si>
    <t>Купон по RU000A103NY1 - РН БАНК1Р9 3шт. по 39.36 RUR - налог 15 RUR (данные из БД)</t>
  </si>
  <si>
    <t>Купон по RU000A0ZYAP9 - ГТЛК 1P-06 1шт. по 28.25 RUR - налог 4 RUR (данные из БД)</t>
  </si>
  <si>
    <t>Част.погаш.номин. обл. АО ГТЛК 4B02-06-32432-H-001P, И988153, частичное досроч. погашение . Вел.погаш. части ном.на 1 обл. 15.09 (данные из сделок)</t>
  </si>
  <si>
    <t>Купон по SU26237RMFS6 - ОФЗ 26237 15шт. по 33.41 RUR - налог 65 RUR (данные из БД)</t>
  </si>
  <si>
    <t>Купон по SU26219RMFS4 - ОФЗ 26219 15шт. по 38.64 RUR - налог 75 RUR (данные из БД)</t>
  </si>
  <si>
    <t>Купон по RU000A105PR5 - ИЭКХолд1Р1 2шт. по 31.66 RUR - налог 8 RUR (данные из БД)</t>
  </si>
  <si>
    <t>Дивиденд по NVTK - Новатэк ао 5шт. по 44.09 RUR - налог 29 RUR (данные из БД)</t>
  </si>
  <si>
    <t>Купон по SU26244RMFS2 - ОФЗ 26244 10шт. по 47.47 RUR - налог 62 RUR (данные из БД)</t>
  </si>
  <si>
    <t>Купон по RU000A1058M3 - БалтЛизБП6 2шт. по 54.35 RUR - налог 14 RUR (данные из БД)</t>
  </si>
  <si>
    <t>Купон по RU000A1032P1 - ВТБРКС01 7шт. по 6.79 RUR - налог 6 RUR (данные из БД)</t>
  </si>
  <si>
    <t>Купон по SU26221RMFS0 - ОФЗ 26221 10шт. по 38.39 RUR - налог 50 RUR (данные из БД)</t>
  </si>
  <si>
    <t>Купон по RU000A106HB4 - iВУШ 1P2 4шт. по 29.42 RUR - налог 15 RUR (данные из БД)</t>
  </si>
  <si>
    <t>Купон по RU000A1077X0 - ИнтЛиз1Р07 10шт. по 13.15 RUR - налог 17 RUR (данные из БД)</t>
  </si>
  <si>
    <t>Купон по RU000A101CL5 - ФСК ЕЭС1Р4 7шт. по 16.83 RUR - налог 15 RUR (данные из БД)</t>
  </si>
  <si>
    <t>Купон по RU000A1032P1 - ВТБРКС01 7шт. по 6.58 RUR - налог 6 RUR (данные из БД)</t>
  </si>
  <si>
    <t>Дивиденд по LSRG - ЛСР ао 1шт. по 100 RUR - налог 13 RUR (данные из БД)</t>
  </si>
  <si>
    <t>Дивиденд по LKOH - ЛУКОЙЛ 1шт. по 498 RUR - налог 65 RUR (данные из БД)</t>
  </si>
  <si>
    <t>Купон по SU26229RMFS3 - ОФЗ 26229 10шт. по 35.65 RUR - налог 46 RUR (данные из БД)</t>
  </si>
  <si>
    <t>Купон по RU000A0ZZ893 - КАМАЗ БО11 2шт. по 63.14 RUR - налог 16 RUR (данные из БД)</t>
  </si>
  <si>
    <t>Купон по RU000A106EZ0 - ВИС Ф БП04 10шт. по 32.16 RUR - налог 42 RUR (данные из БД)</t>
  </si>
  <si>
    <t>Дивиденд по ALRS - АЛРОСА ао 40шт. по 2.02 RUR - налог 11 RUR (данные из БД)</t>
  </si>
  <si>
    <t>Дивиденд по IRAO - ИнтерРАОао 300шт. по 0.33 RUR - налог 13 RUR (данные из БД)</t>
  </si>
  <si>
    <t>Купон по SU26238RMFS4 - ОФЗ 26238 27шт. по 35.4 RUR - налог 124 RUR (данные из БД)</t>
  </si>
  <si>
    <t>Дивиденд по MAGN - ММК 10шт. по 2.75 RUR - налог 4 RUR (данные из БД)</t>
  </si>
  <si>
    <t>Амортизация ГТЛК 1P-06: 1 шт. по 15.39 RUR.  (данные из БД)</t>
  </si>
  <si>
    <t>Купон по RU000A0ZYAP9 - ГТЛК 1P-06 1шт. по 29.3 RUR - налог 4 RUR (данные из БД)</t>
  </si>
  <si>
    <t>Част.погаш.номин. обл. АО ГТЛК 4B02-06-32432-H-001P, И988153, частичное досроч. погашение . Вел.погаш. части ном.на 1 обл. 15.39 (данные из сделок)</t>
  </si>
  <si>
    <t>Дивиденд по MOEX - МосБиржа 10шт. по 17.35 RUR - налог 23 RUR (данные из БД)</t>
  </si>
  <si>
    <t>Купон по RU000A1017J5 - Газпнф3P2R 7шт. по 17.83 RUR - налог 16 RUR (данные из БД)</t>
  </si>
  <si>
    <t>Дивиденд по CHMF - СевСт-ао 1шт. по 191.51 RUR - налог 25 RUR (данные из БД)</t>
  </si>
  <si>
    <t>Дивиденд по CHMF - СевСт-ао 1шт. по 38.3 RUR - налог 5 RUR (данные из БД)</t>
  </si>
  <si>
    <t>Амортизация ВТБРКС01: 7 шт. по 57.73 RUR.  (данные из БД)</t>
  </si>
  <si>
    <t>Част.погаш.номин. обл. ООО СФО ВТБ РКС-1 4-01-00586-R, И988153, частичное досроч. погашение . Вел.погаш. части ном.на 1 обл. 57. (данные из сделок)</t>
  </si>
  <si>
    <t>Дивиденд по ROSN - Роснефть 3шт. по 29.01 RUR - налог 11 RUR (данные из БД)</t>
  </si>
  <si>
    <t>Дивиденд по ASTR - Астра ао 3шт. по 7.89 RUR - налог 3 RUR (данные из БД)</t>
  </si>
  <si>
    <t>Дивиденд по ELMT - Элемент 22000шт. по 0 RUR - налог 5 RUR (данные из БД)</t>
  </si>
  <si>
    <t>Дивиденд по SBERP - Сбербанк-п 10шт. по 33.3 RUR - налог 43 RUR (данные из БД)</t>
  </si>
  <si>
    <t>Дивиденд по MGNT - Магнит ао 1шт. по 412.13 RUR - налог 54 RUR (данные из БД)</t>
  </si>
  <si>
    <t>Дивиденд по AFKS - Система ао 200шт. по 0.52 RUR - налог 14 RUR (данные из БД)</t>
  </si>
  <si>
    <t>Дивиденд по SNGSP - Сургнфгз-п 100шт. по 12.29 RUR - налог 160 RUR (данные из БД)</t>
  </si>
  <si>
    <t>Дивиденд по TRNFP - Транснф ап 2шт. по 177.2 RUR - налог 46 RUR (данные из БД)</t>
  </si>
  <si>
    <t>Дивиденд по SNGS - Сургнфгз 200шт. по 0.85 RUR - налог 22 RUR (данные из БД)</t>
  </si>
  <si>
    <t>Купон по RU000A1061K1 - ЕвроТранс3 8шт. по 11.18 RUR - налог 12 RUR (данные из БД)</t>
  </si>
  <si>
    <t>Амортизация ВТБРКС01: 7 шт. по 50.5 RUR.  (данные из БД)</t>
  </si>
  <si>
    <t>Амортизация РКСЭталон1: 10 шт. по 41.25 RUR.  (данные из БД)</t>
  </si>
  <si>
    <t>Част.погаш.номин. обл. ООО СФО ВТБ РКС-1 4-01-00586-R, И988153, частичное досроч. погашение . Вел.погаш. части ном.на 1 обл. 50. (данные из сделок)</t>
  </si>
  <si>
    <t>Купон по RU000A1032P1 - ВТБРКС01 7шт. по 6.4 RUR - налог 6 RUR (данные из БД)</t>
  </si>
  <si>
    <t>Част.погаш.номин. обл. ООО СФО ВТБ РКС Эталон 4-01-00668-R-001P, И988153, частичное досроч. погашение . Вел.погаш. части ном.на  (данные из сделок)</t>
  </si>
  <si>
    <t>Купон по RU000A105G99 - РКСЭталон1 10шт. по 6.14 RUR - налог 8 RUR (данные из БД)</t>
  </si>
  <si>
    <t>Купон по RU000A106UW3 - iКарРус1P3 4шт. по 11.26 RUR - налог 6 RUR (данные из БД)</t>
  </si>
  <si>
    <t>Купон по SU26240RMFS0 - ОФЗ 26240 80шт. по 34.9 RUR - налог 363 RUR (данные из БД)</t>
  </si>
  <si>
    <t>Купон по RU000A105VP7 - РКК БО-01 2шт. по 8 RUR - налог 2 RUR (данные из БД)</t>
  </si>
  <si>
    <t>Купон по RU000A105VU7 - ЭталонФин1 5шт. по 34.16 RUR - налог 22 RUR (данные из БД)</t>
  </si>
  <si>
    <t>Купон по RU000A106EZ0 - ВИС Ф БП04 19шт. по 32.16 RUR - налог 79 RUR (данные из БД)</t>
  </si>
  <si>
    <t>Амортизация ВТБРКС01: 7 шт. по 55.24 RUR.  (данные из БД)</t>
  </si>
  <si>
    <t>Купон по RU000A1032P1 - ВТБРКС01 7шт. по 6.06 RUR - налог 6 RUR (данные из БД)</t>
  </si>
  <si>
    <t>Амортизация РКСЭталон1: 10 шт. по 45.07 RUR.  (данные из БД)</t>
  </si>
  <si>
    <t>Купон по RU000A106UW3 - iКарРус1P3 7шт. по 11.26 RUR - налог 10 RUR (данные из БД)</t>
  </si>
  <si>
    <t>Купон по RU000A105G99 - РКСЭталон1 10шт. по 5.76 RUR - налог 7 RUR (данные из БД)</t>
  </si>
  <si>
    <t>Част.погаш.номин. обл. ООО СФО ВТБ РКС-1 4-01-00586-R, И988153, частичное досроч. погашение . Вел.погаш. части ном.на 1 обл. 55. (данные из сделок)</t>
  </si>
  <si>
    <t>Дивиденд по CHMF - СевСт-ао 1шт. по 31.06 RUR - налог 4 RUR (данные из БД)</t>
  </si>
  <si>
    <t>Амортизация ГТЛК 1P-06: 1 шт. по 15.86 RUR.  (данные из БД)</t>
  </si>
  <si>
    <t>Амортизация РН БАНК1Р9: 3 шт. по 1000 RUR.  (данные из БД)</t>
  </si>
  <si>
    <t>Купон по RU000A0ZYAP9 - ГТЛК 1P-06 1шт. по 28.63 RUR - налог 4 RUR (данные из БД)</t>
  </si>
  <si>
    <t>Част.погаш.номин. обл. АО ГТЛК 4B02-06-32432-H-001P, И988153, частичное досроч. погашение . Вел.погаш. части ном.на 1 обл. 15.86 (данные из сделок)</t>
  </si>
  <si>
    <t>Ден.ср-ва от погаш. номин.ст-ти обл. АО Авто Финанс Банк 4B02-09-00170-B-001P, И988153.   НДС не обл. Налог не удерживается. (данные из сделок)</t>
  </si>
  <si>
    <t>Купон по RU000A1017J5 - Газпнф3P2R 20шт. по 17.83 RUR - налог 46 RUR (данные из БД)</t>
  </si>
  <si>
    <t>Купон по SU26237RMFS6 - ОФЗ 26237 34шт. по 33.41 RUR - налог 148 RUR (данные из БД)</t>
  </si>
  <si>
    <t>Амортизация БалтЛизБП6: 2 шт. по 330 RUR.  (данные из БД)</t>
  </si>
  <si>
    <t>Купон по SU26244RMFS2 - ОФЗ 26244 40шт. по 56.1 RUR - налог 292 RUR (данные из БД)</t>
  </si>
  <si>
    <t>Купон по SU26246RMFS7 - ОФЗ 26246 20шт. по 43.73 RUR - налог 114 RUR (данные из БД)</t>
  </si>
  <si>
    <t>Част.погаш.номин. обл. ООО Балтийский лизинг 4B02-06-36442-R-001P, И988153, частичное досроч. погашение . Вел.погаш. части ном.н (данные из сделок)</t>
  </si>
  <si>
    <t>Дивиденд по RTKM - Ростел -ао 20шт. по 6.06 RUR - налог 16 RUR (данные из БД)</t>
  </si>
  <si>
    <t>Амортизация ВТБРКС01: 7 шт. по 48.49 RUR.  (данные из БД)</t>
  </si>
  <si>
    <t>Купон по RU000A1032P1 - ВТБРКС01 7шт. по 5.5 RUR - налог 5 RUR (данные из БД)</t>
  </si>
  <si>
    <t>Амортизация РКСЭталон1: 10 шт. по 39.07 RUR.  (данные из БД)</t>
  </si>
  <si>
    <t>Купон по SU26221RMFS0 - ОФЗ 26221 45шт. по 38.39 RUR - налог 225 RUR (данные из БД)</t>
  </si>
  <si>
    <t>Купон по RU000A105G99 - РКСЭталон1 10шт. по 5.16 RUR - налог 7 RUR (данные из БД)</t>
  </si>
  <si>
    <t>Дивиденд по NVTK - Новатэк ао 5шт. по 35.5 RUR - налог 23 RUR (данные из БД)</t>
  </si>
  <si>
    <t>Дивиденд по SELG - Селигдар 20шт. по 4 RUR - налог 10 RUR (данные из БД)</t>
  </si>
  <si>
    <t>Дивиденд по SIBN - Газпрнефть 12шт. по 51.96 RUR - налог 81 RUR (данные из БД)</t>
  </si>
  <si>
    <t>Дивиденд по MAGN - ММК 10шт. по 2.49 RUR - налог 3 RUR (данные из БД)</t>
  </si>
  <si>
    <t>Дивиденд по ALRS - АЛРОСА ао 40шт. по 2.49 RUR - налог 13 RUR (данные из БД)</t>
  </si>
  <si>
    <t>Купон по RU000A106631 - АПРИФП 2Р2 4шт. по 44.88 RUR - налог 23 RUR (данные из БД)</t>
  </si>
  <si>
    <t>Купон по RU000A101CL5 - ФСК ЕЭС1Р4 12шт. по 16.83 RUR - налог 26 RUR (данные из БД)</t>
  </si>
  <si>
    <t>Амортизация ВТБРКС01: 7 шт. по 46.91 RUR.  (данные из БД)</t>
  </si>
  <si>
    <t>Амортизация РКСЭталон1: 10 шт. по 36.03 RUR.  (данные из БД)</t>
  </si>
  <si>
    <t>Купон по RU000A1032P1 - ВТБРКС01 7шт. по 5.35 RUR - налог 5 RUR (данные из БД)</t>
  </si>
  <si>
    <t>Част.погаш.номин. обл. ООО СФО ВТБ РКС-1 4-01-00586-R, И988153, частичное досроч. погашение . Вел.погаш. части ном.на 1 обл. 46. (данные из сделок)</t>
  </si>
  <si>
    <t>Купон по RU000A105G99 - РКСЭталон1 10шт. по 4.97 RUR - налог 6 RUR (данные из БД)</t>
  </si>
  <si>
    <t>Амортизация ИнтЛиз1Р07: 10 шт. по 40 RUR.  (данные из БД)</t>
  </si>
  <si>
    <t>Част.погаш.номин. обл. ООО Интерлизинг 4B02-07-00380-R-001P, И988153, частичное досроч. погашение . Вел.погаш. части ном.на 1 об (данные из сделок)</t>
  </si>
  <si>
    <t>Амортизация ЭНИКА 1Р04: 5 шт. по 100 RUR.  (данные из БД)</t>
  </si>
  <si>
    <t>Част.погаш.номин. обл. ООО ЭНЕРГОНИКА 4B02-04-00518-R-001P, И988153, частичное досроч. погашение . Вел.погаш. части ном.на 1 обл (данные из сделок)</t>
  </si>
  <si>
    <t>Купон по RU000A0ZZ893 - КАМАЗ БО11 2шт. по 73.64 RUR - налог 19 RUR (данные из БД)</t>
  </si>
  <si>
    <t>Купон по SU26236RMFS8 - ОФЗ 26236 10шт. по 28.42 RUR - налог 37 RUR (данные из БД)</t>
  </si>
  <si>
    <t>Купон по SU26241RMFS8 - ОФЗ 26241 34шт. по 47.37 RUR - налог 209 RUR (данные из БД)</t>
  </si>
  <si>
    <t>Купон по SU26247RMFS5 - ОФЗ 26247 20шт. по 65.78 RUR - налог 171 RUR (данные из БД)</t>
  </si>
  <si>
    <t>Амортизация ВТБРКС01: 7 шт. по 45.52 RUR.  (данные из БД)</t>
  </si>
  <si>
    <t>Купон по RU000A1032P1 - ВТБРКС01 7шт. по 4.87 RUR - налог 4 RUR (данные из БД)</t>
  </si>
  <si>
    <t>Амортизация РКСЭталон1: 10 шт. по 36.37 RUR.  (данные из БД)</t>
  </si>
  <si>
    <t>Дивиденд по AQUA - ИНАРКТИКА 4шт. по 20 RUR - налог 10 RUR (данные из БД)</t>
  </si>
  <si>
    <t>Купон по RU000A105G99 - РКСЭталон1 10шт. по 4.48 RUR - налог 6 RUR (данные из БД)</t>
  </si>
  <si>
    <t>Купон по RU000A105KR6 - ВСК 1P-03R 5шт. по 56.1 RUR - налог 36 RUR (данные из БД)</t>
  </si>
  <si>
    <t>Купон по SU26243RMFS4 - ОФЗ 26243 53шт. по 48.87 RUR - налог 337 RUR (данные из БД)</t>
  </si>
  <si>
    <t>Купон по SU26248RMFS3 - ОФЗ 26248 20шт. по 68.13 RUR - налог 177 RUR (данные из БД)</t>
  </si>
  <si>
    <t>Купон по SU26238RMFS4 - ОФЗ 26238 88шт. по 35.4 RUR - налог 405 RUR (данные из БД)</t>
  </si>
  <si>
    <t>Дивиденд по WUSH - iВУШХолднг 3шт. по 2.11 RUR - налог 1 RUR (данные из БД)</t>
  </si>
  <si>
    <t>Амортизация ИЭКХолд1Р2: 3 шт. по 1000 RUR.  (данные из БД)</t>
  </si>
  <si>
    <t>Купон по RU000A101RJ7 - МБЭС 1P-02 1шт. по 81.78 RUR - налог 11 RUR (данные из БД)</t>
  </si>
  <si>
    <t>Ден.ср-ва от погаш. номин.ст-ти обл. ООО ИЭК ХОЛДИНГ 4B02-02-00085-L-001P, И988153.   НДС не обл. Налог не удерживается. (данные из сделок)</t>
  </si>
  <si>
    <t>Купон по RU000A1077X0 - ИнтЛиз1Р07 10шт. по 12.62 RUR - налог 16 RUR (данные из БД)</t>
  </si>
  <si>
    <t>Амортизация ГТЛК 1P-06: 1 шт. по 16.56 RUR.  (данные из БД)</t>
  </si>
  <si>
    <t>Купон по RU000A0ZYAP9 - ГТЛК 1P-06 1шт. по 31.13 RUR - налог 4 RUR (данные из БД)</t>
  </si>
  <si>
    <t>Част.погаш.номин. обл. АО ГТЛК 4B02-06-32432-H-001P, И988153, частичное досроч. погашение . Вел.погаш. части ном.на 1 обл. 16.56 (данные из сделок)</t>
  </si>
  <si>
    <t>Дивиденд по PLZL - Полюс 1шт. по 1301.75 RUR - налог 169 RUR (данные из БД)</t>
  </si>
  <si>
    <t>Дивиденд по LEAS - Европлан 2шт. по 50 RUR - налог 13 RUR (данные из БД)</t>
  </si>
  <si>
    <t>Дивиденд по LKOH - ЛУКОЙЛ 1шт. по 514 RUR - налог 67 RUR (данные из БД)</t>
  </si>
  <si>
    <t>Дивиденд по CHMF - СевСт-ао 1шт. по 49.06 RUR - налог 6 RUR (данные из БД)</t>
  </si>
  <si>
    <t>Дивиденд по SFIN - ЭсЭфАй ао 1шт. по 227.6 RUR - налог 30 RUR (данные из БД)</t>
  </si>
  <si>
    <t>Амортизация ВТБРКС01: 7 шт. по 47.28 RUR.  (данные из БД)</t>
  </si>
  <si>
    <t>Амортизация РКСЭталон1: 10 шт. по 35.98 RUR.  (данные из БД)</t>
  </si>
  <si>
    <t>Купон по RU000A1032P1 - ВТБРКС01 7шт. по 4.73 RUR - налог 4 RUR (данные из БД)</t>
  </si>
  <si>
    <t>Купон по RU000A105G99 - РКСЭталон1 10шт. по 4.29 RUR - налог 6 RUR (данные из БД)</t>
  </si>
  <si>
    <t>Амортизация КЛС БО-02: 2 шт. по 1000 RUR.  (данные из БД)</t>
  </si>
  <si>
    <t>Купон по RU000A1077X0 - ИнтЛиз1Р07 10шт. по 12.1 RUR - налог 16 RUR (данные из БД)</t>
  </si>
  <si>
    <t>Част.погаш.номин. обл. ООО СФО ВТБ РКС-1 4-01-00586-R, И988153, частичное досроч. погашение . Вел.погаш. части ном.на 1 обл. 47. (данные из сделок)</t>
  </si>
  <si>
    <t>Купон по RU000A104YT6 - СамолетP12 5шт. по 33.03 RUR - налог 21 RUR (данные из БД)</t>
  </si>
  <si>
    <t>Дивиденд по ROSN - Роснефть 117шт. по 36.47 RUR - налог 555 RUR (данные из БД)</t>
  </si>
  <si>
    <t>Дивиденд по ASTR - Астра ао 3шт. по 2.64 RUR - налог 1 RUR (данные из БД)</t>
  </si>
  <si>
    <t>Купон по RU000A0JWYJ0 - Самолет 01 5шт. по 39.89 RUR - налог 26 RUR (данные из БД)</t>
  </si>
  <si>
    <t>Амортизация ВТБРКС01: 7 шт. по 42.57 RUR.  (данные из БД)</t>
  </si>
  <si>
    <t>Купон по RU000A1032P1 - ВТБРКС01 7шт. по 4.41 RUR - налог 4 RUR (данные из БД)</t>
  </si>
  <si>
    <t>Амортизация РКСЭталон1: 10 шт. по 32.96 RUR.  (данные из БД)</t>
  </si>
  <si>
    <t>Купон по RU000A105G99 - РКСЭталон1 10шт. по 3.96 RUR - налог 5 RUR (данные из БД)</t>
  </si>
  <si>
    <t>Част.погаш.номин. обл. ООО СФО ВТБ РКС-1 4-01-00586-R, И988153, частичное досроч. погашение . Вел.погаш. части ном.на 1 обл. 42. (данные из сделок)</t>
  </si>
  <si>
    <t>Купон по RU000A1077X0 - ИнтЛиз1Р07 10шт. по 11.57 RUR - налог 15 RUR (данные из БД)</t>
  </si>
  <si>
    <t>Купон по RU000A106R79 - ЭНИКА 1Р04 5шт. по 35.9 RUR - налог 23 RUR (данные из БД)</t>
  </si>
  <si>
    <t>Амортизация ВТБРКС01: 7 шт. по 39.07 RUR.  (данные из БД)</t>
  </si>
  <si>
    <t>Амортизация РКСЭталон1: 10 шт. по 30.66 RUR.  (данные из БД)</t>
  </si>
  <si>
    <t>Купон по RU000A1032P1 - ВТБРКС01 7шт. по 3.72 RUR - налог 3 RUR (данные из БД)</t>
  </si>
  <si>
    <t>Купон по RU000A105G99 - РКСЭталон1 10шт. по 3.3 RUR - налог 4 RUR (данные из БД)</t>
  </si>
  <si>
    <t>Част.погаш.номин. обл. ООО СФО ВТБ РКС-1 4-01-00586-R, И988153, частичное досроч. погашение . Вел.погаш. части ном.на 1 обл. 39. (данные из сделок)</t>
  </si>
  <si>
    <t>Купон по RU000A1077X0 - ИнтЛиз1Р07 10шт. по 11.05 RUR - налог 14 RUR (данные из БД)</t>
  </si>
  <si>
    <t>Амортизация ГТЛК 1P-06: 1 шт. по 17.25 RUR.  (данные из БД)</t>
  </si>
  <si>
    <t>Купон по RU000A0ZYAP9 - ГТЛК 1P-06 1шт. по 34.99 RUR - налог 5 RUR (данные из БД)</t>
  </si>
  <si>
    <t>Част.погаш.номин. обл. АО ГТЛК 4B02-06-32432-H-001P, И988153, частичное досроч. погашение . Вел.погаш. части ном.на 1 обл. 17.25 (данные из сделок)</t>
  </si>
  <si>
    <t>Купон по SU26246RMFS7 - ОФЗ 26246 34шт. по 59.84 RUR - налог 264 RUR (данные из БД)</t>
  </si>
  <si>
    <t>Купон по RU000A1058M3 - БалтЛизБП6 2шт. по 36.41 RUR - налог 9 RUR (данные из БД)</t>
  </si>
  <si>
    <t>Амортизация ВТБРКС01: 7 шт. по 36.56 RUR.  (данные из БД)</t>
  </si>
  <si>
    <t>Купон по RU000A1032P1 - ВТБРКС01 7шт. по 3.85 RUR - налог 4 RUR (данные из БД)</t>
  </si>
  <si>
    <t>Амортизация РКСЭталон1: 10 шт. по 30.17 RUR.  (данные из БД)</t>
  </si>
  <si>
    <t>Част.погаш.номин. обл. ООО СФО ВТБ РКС-1 4-01-00586-R, И988153, частичное досроч. погашение . Вел.погаш. части ном.на 1 обл. 36. (данные из сделок)</t>
  </si>
  <si>
    <t>Купон по RU000A105G99 - РКСЭталон1 10шт. по 3.36 RUR - налог 4 RUR (данные из БД)</t>
  </si>
  <si>
    <t>Купон по RU000A1077X0 - ИнтЛиз1Р07 10шт. по 10.52 RUR - налог 14 RUR (данные из БД)</t>
  </si>
  <si>
    <t>Дивиденд по PLZL - Полюс 10шт. по 73 RUR - налог 95 RUR (данные из БД)</t>
  </si>
  <si>
    <t>Дивиденд по NVTK - Новатэк ао 5шт. по 46.65 RUR - налог 30 RUR (данные из БД)</t>
  </si>
  <si>
    <t>Амортизация ВТБРКС01: 7 шт. по 36.26 RUR.  (данные из БД)</t>
  </si>
  <si>
    <t>Купон по RU000A1032P1 - ВТБРКС01 7шт. по 3.49 RUR - налог 3 RUR (данные из БД)</t>
  </si>
  <si>
    <t>Амортизация РКСЭталон1: 10 шт. по 30.9 RUR.  (данные из БД)</t>
  </si>
  <si>
    <t>Купон по RU000A105G99 - РКСЭталон1 10шт. по 2.98 RUR - налог 4 RUR (данные из БД)</t>
  </si>
  <si>
    <t>Амортизация ГарИнв2P06: 2 шт. по 1000 RUR.  (данные из БД)</t>
  </si>
  <si>
    <t>Купон по RU000A1077X0 - ИнтЛиз1Р07 10шт. по 9.99 RUR - налог 13 RUR (данные из БД)</t>
  </si>
  <si>
    <t>Купон по RU000A106R79 - ЭНИКА 1Р04 5шт. по 31.91 RUR - налог 21 RUR (данные из БД)</t>
  </si>
  <si>
    <t>Амортизация РКК БО-01: 2 шт. по 250 RUR.  (данные из БД)</t>
  </si>
  <si>
    <t>Купон по RU000A0ZZ893 - КАМАЗ БО11 2шт. по 88.51 RUR - налог 23 RUR (данные из БД)</t>
  </si>
  <si>
    <t>Купон по RU000A102SX4 - Систем1P19 5шт. по 59.84 RUR - налог 39 RUR (данные из БД)</t>
  </si>
  <si>
    <t>Купон по SU26247RMFS5 - ОФЗ 26247 20шт. по 61.08 RUR - налог 159 RUR (данные из БД)</t>
  </si>
  <si>
    <t>Амортизация ВТБРКС01: 7 шт. по 34.96 RUR.  (данные из БД)</t>
  </si>
  <si>
    <t>Амортизация РКСЭталон1: 10 шт. по 29.8 RUR.  (данные из БД)</t>
  </si>
  <si>
    <t>Купон по RU000A1032P1 - ВТБРКС01 7шт. по 3.36 RUR - налог 3 RUR (данные из БД)</t>
  </si>
  <si>
    <t>Купон по RU000A105G99 - РКСЭталон1 10шт. по 2.79 RUR - налог 4 RUR (данные из БД)</t>
  </si>
  <si>
    <t>Погашение номинальной стоимости облигаций ООО СФО ВТБ РКС-1 ISIN RU000A1032P1, размер выплаты на 1 ц/б 34.96 RUB . (данные из сделок)</t>
  </si>
  <si>
    <t>Дивиденд по LKOH - ЛУКОЙЛ 1шт. по 541 RUR - налог 70 RUR (данные из БД)</t>
  </si>
  <si>
    <t>Купон по SU26248RMFS3 - ОФЗ 26248 20шт. по 61.08 RUR - налог 159 RUR (данные из БД)</t>
  </si>
  <si>
    <t>Дивиденд по LEAS - Европлан 2шт. по 29 RUR - налог 8 RUR (данные из БД)</t>
  </si>
  <si>
    <t>Купон по RU000A1077X0 - ИнтЛиз1Р07 10шт. по 9.47 RUR - налог 12 RUR (данные из БД)</t>
  </si>
  <si>
    <t>Дивиденд по SFIN - ЭсЭфАй ао 1шт. по 83.5 RUR - налог 11 RUR (данные из БД)</t>
  </si>
  <si>
    <t>Дивиденд по IRAO - ИнтерРАОао 400шт. по 0.35 RUR - налог 18 RUR (данные из БД)</t>
  </si>
  <si>
    <t>Погашение номинальной стоимости облигаций ООО Интерлизинг ISIN RU000A1077X0, размер выплаты на 1 ц/б 40 RUB . (данные из сделок)</t>
  </si>
  <si>
    <t>Амортизация ГТЛК 1P-06: 1 шт. по 17.38 RUR.  (данные из БД)</t>
  </si>
  <si>
    <t>Купон по RU000A0ZYAP9 - ГТЛК 1P-06 1шт. по 34.02 RUR - налог 4 RUR (данные из БД)</t>
  </si>
  <si>
    <t>Погашение номинальной стоимости облигаций АО ГТЛК ISIN RU000A0ZYAP9, размер выплаты на 1 ц/б 17.38 RUB . (данные из сделок)</t>
  </si>
  <si>
    <t>Амортизация ВТБРКС01: 7 шт. по 32.45 RUR.  (данные из БД)</t>
  </si>
  <si>
    <t>Купон по RU000A1032P1 - ВТБРКС01 7шт. по 3.02 RUR - налог 3 RUR (данные из БД)</t>
  </si>
  <si>
    <t>Амортизация РКСЭталон1: 10 шт. по 29.61 RUR.  (данные из БД)</t>
  </si>
  <si>
    <t>Купон по RU000A105G99 - РКСЭталон1 10шт. по 2.43 RUR - налог 3 RUR (данные из БД)</t>
  </si>
  <si>
    <t>Погашение номинальной стоимости облигаций ООО СФО ВТБ РКС-1 ISIN RU000A1032P1, размер выплаты на 1 ц/б 32.45 RUB . (данные из сделок)</t>
  </si>
  <si>
    <t>Погашение номинальной стоимости облигаций ООО СФО ВТБ РКС Эталон ISIN RU000A105G99, размер выплаты на 1 ц/б 29.61 RUB . (данные из сделок)</t>
  </si>
  <si>
    <t>Купон по RU000A1077X0 - ИнтЛиз1Р07 10шт. по 8.94 RUR - налог 12 RUR (данные из БД)</t>
  </si>
  <si>
    <t>Дивиденд по SVCB - Совкомбанк 500шт. по 0.35 RUR - налог 23 RUR (данные из БД)</t>
  </si>
  <si>
    <t>Дивиденд по SIBN - Газпрнефть 12шт. по 27.21 RUR - налог 42 RUR (данные из БД)</t>
  </si>
  <si>
    <t>Дивиденд по MOEX - МосБиржа 10шт. по 26.11 RUR - налог 34 RUR (данные из БД)</t>
  </si>
  <si>
    <t>Дивиденд по ASTR - Астра ао 3шт. по 3.15 RUR - налог 1 RUR (данные из БД)</t>
  </si>
  <si>
    <t>Амортизация СамолетP12: 5 шт. по 1000 RUR.  (данные из БД)</t>
  </si>
  <si>
    <t>Погашение номинальной стоимости облигаций ПАО ГК Самолет ISIN RU000A104YT6, размер выплаты на 1 ц/б 1000 RUB . (данные из сделок)</t>
  </si>
  <si>
    <t>Дивиденд по ELMT - Элемент 22000шт. по 0 RUR - налог 10 RUR (данные из БД)</t>
  </si>
  <si>
    <t>Дивиденд по NMTP - НМТП ао 900шт. по 0.96 RUR - налог 112 RUR (данные из БД)</t>
  </si>
  <si>
    <t>Дивиденд по SNGS - Сургнфгз 200шт. по 0.9 RUR - налог 23 RUR (данные из БД)</t>
  </si>
  <si>
    <t>Дивиденд по TRNFP - Транснф ап 2шт. по 198.25 RUR - налог 52 RUR (данные из БД)</t>
  </si>
  <si>
    <t>Дивиденд по SNGSP - Сургнфгз-п 100шт. по 8.5 RUR - налог 111 RUR (данные из БД)</t>
  </si>
  <si>
    <t>Дивиденд по SBER - Сбербанк 50шт. по 34.84 RUR - налог 226 RUR (данные из БД)</t>
  </si>
  <si>
    <t>Дивиденд по ROSN - Роснефть 117шт. по 14.68 RUR - налог 223 RUR (данные из БД)</t>
  </si>
  <si>
    <t>Купон по RU000A106631 - АПРИФП 2Р2 4шт. по 79.78 RUR - налог 41 RUR (данные из БД)</t>
  </si>
  <si>
    <t>Амортизация ВТБРКС01: 7 шт. по 32.8 RUR.  (данные из БД)</t>
  </si>
  <si>
    <t>Купон по RU000A1032P1 - ВТБРКС01 7шт. по 2.9 RUR - налог 3 RUR (данные из БД)</t>
  </si>
  <si>
    <t>Купон по RU000A0JWYJ0 - Самолет 01 5шт. по 64.82 RUR - налог 42 RUR (данные из БД)</t>
  </si>
  <si>
    <t>Амортизация РКСЭталон1: 10 шт. по 28.19 RUR.  (данные из БД)</t>
  </si>
  <si>
    <t>Купон по RU000A105G99 - РКСЭталон1 10шт. по 2.24 RUR - налог 3 RUR (данные из БД)</t>
  </si>
  <si>
    <t>Погашение номинальной стоимости облигаций ООО СФО ВТБ РКС-1 ISIN RU000A1032P1, размер выплаты на 1 ц/б 32.8 RUB . (данные из сделок)</t>
  </si>
  <si>
    <t>Погашение номинальной стоимости облигаций ООО СФО ВТБ РКС Эталон ISIN RU000A105G99, размер выплаты на 1 ц/б 28.19 RUB . (данные из сделок)</t>
  </si>
  <si>
    <t>Купон по RU000A1077X0 - ИнтЛиз1Р07 10шт. по 8.42 RUR - налог 11 RUR (данные из БД)</t>
  </si>
  <si>
    <t>Дивиденд по RTKM - Ростел -ао 20шт. по 2.71 RUR - налог 7 RUR (данные из БД)</t>
  </si>
  <si>
    <t>Купон по RU000A105VP7 - РКК БО-01 2шт. по 35.53 RUR - налог 9 RUR (данные из БД)</t>
  </si>
  <si>
    <t>Амортизация ВТБРКС01: 7 шт. по 31.64 RUR.  (данные из БД)</t>
  </si>
  <si>
    <t>Купон по RU000A1032P1 - ВТБРКС01 7шт. по 2.67 RUR - налог 2 RUR (данные из БД)</t>
  </si>
  <si>
    <t>Амортизация РКСЭталон1: 10 шт. по 27.98 RUR.  (данные из БД)</t>
  </si>
  <si>
    <t>Погашение номинальной стоимости облигаций ООО СФО ВТБ РКС-1 ISIN RU000A1032P1, размер выплаты на 1 ц/б 31.64 RUB . (данные из сделок)</t>
  </si>
  <si>
    <t>Купон по RU000A105G99 - РКСЭталон1 10шт. по 1.97 RUR - налог 3 RUR (данные из БД)</t>
  </si>
  <si>
    <t>Погашение номинальной стоимости облигаций ООО СФО ВТБ РКС Эталон ISIN RU000A105G99, размер выплаты на 1 ц/б 27.98 RUB . (данные из сделок)</t>
  </si>
  <si>
    <t>Купон по RU000A1077X0 - ИнтЛиз1Р07 10шт. по 7.89 RUR - налог 10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</si>
  <si>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</si>
  <si>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</si>
  <si>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</si>
  <si>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</si>
  <si>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</si>
  <si>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</si>
  <si>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</si>
  <si>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</si>
  <si>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+13402 шт. FEES:moex (Россети)</t>
  </si>
  <si>
    <t>Полный доход</t>
  </si>
  <si>
    <t>VTBR</t>
  </si>
  <si>
    <t>RNFT</t>
  </si>
  <si>
    <t>SBERP</t>
  </si>
  <si>
    <t>RU000A0JR282</t>
  </si>
  <si>
    <t>RU000A101RP4</t>
  </si>
  <si>
    <t>FLOT</t>
  </si>
  <si>
    <t>SPBE</t>
  </si>
  <si>
    <t>RSTI</t>
  </si>
  <si>
    <t>MTLRP</t>
  </si>
  <si>
    <t>RU000A107E08</t>
  </si>
  <si>
    <t>RU000A105QL6</t>
  </si>
  <si>
    <t>RU000A103NY1</t>
  </si>
  <si>
    <t>RU000A105VP7</t>
  </si>
  <si>
    <t>RU000A106862</t>
  </si>
  <si>
    <t>ZAYM</t>
  </si>
  <si>
    <t>MBNK</t>
  </si>
  <si>
    <t>PLZL</t>
  </si>
  <si>
    <t>ENPG</t>
  </si>
  <si>
    <t>RU000A104YT6</t>
  </si>
  <si>
    <t>YDEX</t>
  </si>
  <si>
    <t>AFLT</t>
  </si>
  <si>
    <t>ROSN
Роснефть</t>
  </si>
  <si>
    <t>SBER
Сбербанк</t>
  </si>
  <si>
    <t>NMTP
НМТП ао</t>
  </si>
  <si>
    <t>SVCB
Совкомбанк</t>
  </si>
  <si>
    <t>MGNT
Магнит ао</t>
  </si>
  <si>
    <t>LKOH
ЛУКОЙЛ</t>
  </si>
  <si>
    <t>GMKN
ГМКНорНик</t>
  </si>
  <si>
    <t>SIBN
Газпрнефть</t>
  </si>
  <si>
    <t>NVTK
Новатэк ао</t>
  </si>
  <si>
    <t>GEMC
МКПАО ЮМГ</t>
  </si>
  <si>
    <t>SNGS
Сургнфгз</t>
  </si>
  <si>
    <t>SNGSP
Сургнфгз-п</t>
  </si>
  <si>
    <t>UGLD
ЮГК</t>
  </si>
  <si>
    <t>LENT
Лента ао</t>
  </si>
  <si>
    <t>AFKS
Система ао</t>
  </si>
  <si>
    <t>FESH
ДВМП ао</t>
  </si>
  <si>
    <t>ELMT
Элемент</t>
  </si>
  <si>
    <t>TRNFP
Транснф ап</t>
  </si>
  <si>
    <t>NLMK
НЛМК ао</t>
  </si>
  <si>
    <t>AQUA
ИНАРКТИКА</t>
  </si>
  <si>
    <t>ALRS
АЛРОСА ао</t>
  </si>
  <si>
    <t>MOEX
МосБиржа</t>
  </si>
  <si>
    <t>IVAT
iИВА</t>
  </si>
  <si>
    <t>UPRO
Юнипро ао</t>
  </si>
  <si>
    <t>RTKM
Ростел -ао</t>
  </si>
  <si>
    <t>GAZP
ГАЗПРОМ ао</t>
  </si>
  <si>
    <t>POSI
iПозитив</t>
  </si>
  <si>
    <t>IRAO
ИнтерРАОао</t>
  </si>
  <si>
    <t>ASTR
Астра ао</t>
  </si>
  <si>
    <t>LEAS
Европлан</t>
  </si>
  <si>
    <t>TRMK
ТМК ао</t>
  </si>
  <si>
    <t>SFIN
ЭсЭфАй ао</t>
  </si>
  <si>
    <t>CHMF
СевСт-ао</t>
  </si>
  <si>
    <t>FEES
Россети</t>
  </si>
  <si>
    <t>SELG
Селигдар</t>
  </si>
  <si>
    <t>LSRG
ЛСР ао</t>
  </si>
  <si>
    <t>PIKK
ПИК ао</t>
  </si>
  <si>
    <t>RUAL
РУСАЛ ао</t>
  </si>
  <si>
    <t>DSKY
ДетскийМир</t>
  </si>
  <si>
    <t>WUSH
iВУШХолднг</t>
  </si>
  <si>
    <t>MAGN
ММК</t>
  </si>
  <si>
    <t>MTLR
Мечел ао</t>
  </si>
  <si>
    <t>MVID
М.видео</t>
  </si>
  <si>
    <t>SGZH
Сегежа</t>
  </si>
  <si>
    <t>CNYM
CNYM ETF</t>
  </si>
  <si>
    <t>OBLG
OBLG ETF</t>
  </si>
  <si>
    <t>GOLD
GOLD ETF</t>
  </si>
  <si>
    <t>EQMX
EQMX ETF</t>
  </si>
  <si>
    <t>LQDT
LQDT ETF</t>
  </si>
  <si>
    <t>SU26238RMFS4
ОФЗ 26238</t>
  </si>
  <si>
    <t>SU26240RMFS0
ОФЗ 26240</t>
  </si>
  <si>
    <t>SU26243RMFS4
ОФЗ 26243</t>
  </si>
  <si>
    <t>SU26244RMFS2
ОФЗ 26244</t>
  </si>
  <si>
    <t>SU26221RMFS0
ОФЗ 26221</t>
  </si>
  <si>
    <t>SU26246RMFS7
ОФЗ 26246</t>
  </si>
  <si>
    <t>RU000A1061K1
ЕвроТранс3</t>
  </si>
  <si>
    <t>SU26237RMFS6
ОФЗ 26237</t>
  </si>
  <si>
    <t>SU26241RMFS8
ОФЗ 26241</t>
  </si>
  <si>
    <t>SU26247RMFS5
ОФЗ 26247</t>
  </si>
  <si>
    <t>SU26248RMFS3
ОФЗ 26248</t>
  </si>
  <si>
    <t>RU000A106EZ0
ВИС Ф БП04</t>
  </si>
  <si>
    <t>RU000A1017J5
Газпнф3P2R</t>
  </si>
  <si>
    <t>SU26219RMFS4
ОФЗ 26219</t>
  </si>
  <si>
    <t>SU26229RMFS3
ОФЗ 26229</t>
  </si>
  <si>
    <t>RU000A101CL5
ФСК ЕЭС1Р4</t>
  </si>
  <si>
    <t>SU26236RMFS8
ОФЗ 26236</t>
  </si>
  <si>
    <t>RU000A106UW3
iКарРус1P3</t>
  </si>
  <si>
    <t>RU000A0JWYJ0
Самолет 01</t>
  </si>
  <si>
    <t>RU000A1077X0
ИнтЛиз1Р07</t>
  </si>
  <si>
    <t>RU000A102SX4
Систем1P19</t>
  </si>
  <si>
    <t>RU000A105KR6
ВСК 1P-03R</t>
  </si>
  <si>
    <t>RU000A105VU7
ЭталонФин1</t>
  </si>
  <si>
    <t>RU000A1055Y4
ПочтаР2P04</t>
  </si>
  <si>
    <t>RU000A106631
АПРИФП 2Р2</t>
  </si>
  <si>
    <t>RU000A106HB4
iВУШ 1P2</t>
  </si>
  <si>
    <t>RU000A106R79
ЭНИКА 1Р04</t>
  </si>
  <si>
    <t>RU000A104693
Систем1P23</t>
  </si>
  <si>
    <t>RU000A1032P1
ВТБРКС01</t>
  </si>
  <si>
    <t>RU000A105PR5
ИЭКХолд1Р1</t>
  </si>
  <si>
    <t>RU000A106R95
iСелкт1Р3R</t>
  </si>
  <si>
    <t>RU000A0ZZ893
КАМАЗ БО11</t>
  </si>
  <si>
    <t>RU000A105G99
РКСЭталон1</t>
  </si>
  <si>
    <t>RU000A101RJ7
МБЭС 1P-02</t>
  </si>
  <si>
    <t>RU000A1058M3
БалтЛизБП6</t>
  </si>
  <si>
    <t>RU000A0ZYAP9
ГТЛК 1P-06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</si>
  <si>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</si>
  <si>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</si>
  <si>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</si>
  <si>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</si>
  <si>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</si>
  <si>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</si>
  <si>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</si>
  <si>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</si>
  <si>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НК Роснефть</t>
  </si>
  <si>
    <t>ПАО Московская Биржа</t>
  </si>
  <si>
    <t>АФК "Система" ПАО ао</t>
  </si>
  <si>
    <t>ао ПАО Банк ВТБ</t>
  </si>
  <si>
    <t>РУСАЛ ОК МКПАО ао</t>
  </si>
  <si>
    <t>Мечел ПАО ао</t>
  </si>
  <si>
    <t>РуссНефть НК ПАО ао</t>
  </si>
  <si>
    <t>"Интер РАО" ПАО ао</t>
  </si>
  <si>
    <t>БПИФ Индекс МосБиржи УК ВИМ</t>
  </si>
  <si>
    <t>Сбербанк России ПАО ап</t>
  </si>
  <si>
    <t>БПИФ Ликвидность УК ВИМ</t>
  </si>
  <si>
    <t>БПИФ Золото.Биржевой УК ВИМ</t>
  </si>
  <si>
    <t>ПИФ Акции УК ВИМИнвест</t>
  </si>
  <si>
    <t>Республика Казахстан 01</t>
  </si>
  <si>
    <t>АЛРОСА ПАО ао</t>
  </si>
  <si>
    <t>ПАО Детский мир</t>
  </si>
  <si>
    <t>Группа Позитив ао</t>
  </si>
  <si>
    <t>НК ЛУКОЙЛ (ПАО) - ао</t>
  </si>
  <si>
    <t>"Газпром" (ПАО) ао</t>
  </si>
  <si>
    <t>Сургутнефтегаз ПАО ап</t>
  </si>
  <si>
    <t>Юнипро ПАО ао</t>
  </si>
  <si>
    <t>"ФСК ЕЭС" ПАО ао</t>
  </si>
  <si>
    <t>Северсталь (ПАО)ао</t>
  </si>
  <si>
    <t>ПАО "Селигдар"  ао</t>
  </si>
  <si>
    <t>ПИК СЗ (ПАО) ао</t>
  </si>
  <si>
    <t>"Магнитогорск.мет.комб" ПАО ао</t>
  </si>
  <si>
    <t>Совкомфлот ао</t>
  </si>
  <si>
    <t>СПБ Биржа ао</t>
  </si>
  <si>
    <t>Газпром нефть ПАО ао</t>
  </si>
  <si>
    <t>Русская Аквакультура ПАО ао</t>
  </si>
  <si>
    <t>"Российские сети" ПАО ао</t>
  </si>
  <si>
    <t>"М.видео" ПАО ао</t>
  </si>
  <si>
    <t>Сегежа ао</t>
  </si>
  <si>
    <t>Группа ЛСР ПАО ао</t>
  </si>
  <si>
    <t>Мечел ПАО ап</t>
  </si>
  <si>
    <t>Сбербанк России ПАО ао</t>
  </si>
  <si>
    <t>Межд.Банк Эк.Сотруд. 001P-02</t>
  </si>
  <si>
    <t>ПАО ИНАРКТИКА</t>
  </si>
  <si>
    <t>Ростелеком (ПАО) ао.</t>
  </si>
  <si>
    <t>CNYRUB_TOM</t>
  </si>
  <si>
    <t>CNY/RUB_TOM - CNY/РУБ</t>
  </si>
  <si>
    <t>selt</t>
  </si>
  <si>
    <t>ЭНЕРГОНИКА 001Р-04</t>
  </si>
  <si>
    <t>КАМАЗ ПАО об. БО-11</t>
  </si>
  <si>
    <t>Каршеринг Руссия 001P-03</t>
  </si>
  <si>
    <t>ЕвроТранс БО-001Р-03</t>
  </si>
  <si>
    <t>ИЭК ХОЛДИНГ 001P-02</t>
  </si>
  <si>
    <t>ИЭК ХОЛДИНГ 001P-01</t>
  </si>
  <si>
    <t>АПРИ ФП БО-002Р-02</t>
  </si>
  <si>
    <t>КЛС-Трейд БО-02</t>
  </si>
  <si>
    <t>Лента МКПАО ао</t>
  </si>
  <si>
    <t>РН БАНК АО БО-001Р-09</t>
  </si>
  <si>
    <t>Балтийский лизинг ООО БО-П06</t>
  </si>
  <si>
    <t>АФК Система БО 001P-19</t>
  </si>
  <si>
    <t>ВУШ БО 001P-02</t>
  </si>
  <si>
    <t>Селектел 001P-03R</t>
  </si>
  <si>
    <t>ОФЗ-ПД 26237 14/03/2029</t>
  </si>
  <si>
    <t>Русская Контейнерная Компания</t>
  </si>
  <si>
    <t>Эталон-Финанс 002Р-01</t>
  </si>
  <si>
    <t>Интерлизинг 001Р-07</t>
  </si>
  <si>
    <t>ФПК Гарант-Инвест БО 002Р-06</t>
  </si>
  <si>
    <t>АФК Система БО 001P-23</t>
  </si>
  <si>
    <t>Почта России БО-002P-04</t>
  </si>
  <si>
    <t>БПИФ Российскиеоблигации УКВИМ</t>
  </si>
  <si>
    <t>Юнайтед Медикал Груп ПАО</t>
  </si>
  <si>
    <t>Ликвидность. Юань</t>
  </si>
  <si>
    <t>ООО «СФО ВТБ РКС-1 »</t>
  </si>
  <si>
    <t>ОФЗ-ПД 26229 12/11/25</t>
  </si>
  <si>
    <t>ОФЗ-ПД 26219 16/09/26</t>
  </si>
  <si>
    <t>ГосТранспортЛизингКомп 001P-06</t>
  </si>
  <si>
    <t>ПАО "НОВАТЭК" ао</t>
  </si>
  <si>
    <t>spec</t>
  </si>
  <si>
    <t>Сумма процентов по СпецЗайму</t>
  </si>
  <si>
    <t>dohod</t>
  </si>
  <si>
    <t>amort</t>
  </si>
  <si>
    <t>Част.погаш.номин. обл. АО ГТЛК 4B02-06-32432-H-001P, И988153, частичное досроч. погашение . Вел.погаш. части ном.на 1 обл. 15.09</t>
  </si>
  <si>
    <t>ВИС ФИНАНС БО-П04</t>
  </si>
  <si>
    <t>ОФЗ-ПД 26244 15/03/34</t>
  </si>
  <si>
    <t>ОФЗ-ПД 26240 30/07/2036</t>
  </si>
  <si>
    <t>ОФЗ-ПД 26238 15/05/2041</t>
  </si>
  <si>
    <t>ОФЗ-ПД 26221 23/03/33</t>
  </si>
  <si>
    <t>commission</t>
  </si>
  <si>
    <t>Разница между суммами по внеб. сделкам спец. вал. СВОП ¹</t>
  </si>
  <si>
    <t>ПАО «ЛК «Европлан»</t>
  </si>
  <si>
    <t>Комиссия банка за внебирж.сделки к/п иностранной валюты/спец.своп по клиенту</t>
  </si>
  <si>
    <t>ФСК ЕЭС ПАО БО 001P-04R</t>
  </si>
  <si>
    <t>Газпром нефть БО 003Р-02R</t>
  </si>
  <si>
    <t>Займер ао</t>
  </si>
  <si>
    <t>Группа Астра ао</t>
  </si>
  <si>
    <t>МТС-Банк ао</t>
  </si>
  <si>
    <t>Сургутнефтегаз ПАО акции об.</t>
  </si>
  <si>
    <t>ПАО ИВА ао</t>
  </si>
  <si>
    <t>Част.погаш.номин. обл. АО ГТЛК 4B02-06-32432-H-001P, И988153, частичное досроч. погашение . Вел.погаш. части ном.на 1 обл. 15.39</t>
  </si>
  <si>
    <t>Вознаграждение Брокера</t>
  </si>
  <si>
    <t>Полюс ПАО ао</t>
  </si>
  <si>
    <t>Част.погаш.номин. обл. ООО СФО ВТБ РКС-1 4-01-00586-R, И988153, частичное досроч. погашение . Вел.погаш. части ном.на 1 обл. 57.</t>
  </si>
  <si>
    <t>"Магнит" ПАО ао</t>
  </si>
  <si>
    <t>ПАО "НЛМК" ао</t>
  </si>
  <si>
    <t>ДВ морское пароходство ПАО ао</t>
  </si>
  <si>
    <t>СФО ВТБ РКС Эталон 01</t>
  </si>
  <si>
    <t>Транснефть ПАО акц.пр.</t>
  </si>
  <si>
    <t>Совкомбанк ао</t>
  </si>
  <si>
    <t>Восточная Стивидор.Ком 1P-03R</t>
  </si>
  <si>
    <t>Част.погаш.номин. обл. ООО СФО ВТБ РКС-1 4-01-00586-R, И988153, частичное досроч. погашение . Вел.погаш. части ном.на 1 обл. 50.</t>
  </si>
  <si>
    <t>Част.погаш.номин. обл. ООО СФО ВТБ РКС Эталон 4-01-00668-R-001P, И988153, частичное досроч. погашение . Вел.погаш. части ном.на </t>
  </si>
  <si>
    <t>ВУШ Холдинг ао</t>
  </si>
  <si>
    <t>ОФЗ-ПД 26243 19/05/38</t>
  </si>
  <si>
    <t>ОФЗ-ПД 26236 17/05/2028</t>
  </si>
  <si>
    <t>НМТП (ПАО) ао</t>
  </si>
  <si>
    <t>ЭсЭфАй ПАО ао</t>
  </si>
  <si>
    <t>ПАО ТМК</t>
  </si>
  <si>
    <t>Част.погаш.номин. обл. ООО СФО ВТБ РКС-1 4-01-00586-R, И988153, частичное досроч. погашение . Вел.погаш. части ном.на 1 обл. 55.</t>
  </si>
  <si>
    <t>МКПАО ЭН+ ГРУП ао</t>
  </si>
  <si>
    <t>Част.погаш.номин. обл. АО ГТЛК 4B02-06-32432-H-001P, И988153, частичное досроч. погашение . Вел.погаш. части ном.на 1 обл. 15.86</t>
  </si>
  <si>
    <t>Ден.ср-ва от погаш. номин.ст-ти обл. АО Авто Финанс Банк 4B02-09-00170-B-001P, И988153.   НДС не обл. Налог не удерживается.</t>
  </si>
  <si>
    <t>ОФЗ-ПД 26241 17/11/32</t>
  </si>
  <si>
    <t>ОФЗ-ПД 26246 12/03/36</t>
  </si>
  <si>
    <t>ОФЗ-ПД 26247 11/05/39</t>
  </si>
  <si>
    <t>ОФЗ-ПД 26248 16/05/40</t>
  </si>
  <si>
    <t>Част.погаш.номин. обл. ООО Балтийский лизинг 4B02-06-36442-R-001P, И988153, частичное досроч. погашение . Вел.погаш. части ном.н</t>
  </si>
  <si>
    <t>CNYRUB</t>
  </si>
  <si>
    <t>Част.погаш.номин. обл. ООО СФО ВТБ РКС-1 4-01-00586-R, И988153, частичное досроч. погашение . Вел.погаш. части ном.на 1 обл. 46.</t>
  </si>
  <si>
    <t>Группа компаний "Самолет" 01</t>
  </si>
  <si>
    <t>ГК Самолет БО-П12</t>
  </si>
  <si>
    <t>Част.погаш.номин. обл. ООО Интерлизинг 4B02-07-00380-R-001P, И988153, частичное досроч. погашение . Вел.погаш. части ном.на 1 об</t>
  </si>
  <si>
    <t>ГМК "Нор.Никель" ПАО ао</t>
  </si>
  <si>
    <t>Част.погаш.номин. обл. ООО ЭНЕРГОНИКА 4B02-04-00518-R-001P, И988153, частичное досроч. погашение . Вел.погаш. части ном.на 1 обл</t>
  </si>
  <si>
    <t>Ден.ср-ва от погаш. номин.ст-ти обл. ООО ИЭК ХОЛДИНГ 4B02-02-00085-L-001P, И988153.   НДС не обл. Налог не удерживается.</t>
  </si>
  <si>
    <t>Част.погаш.номин. обл. АО ГТЛК 4B02-06-32432-H-001P, И988153, частичное досроч. погашение . Вел.погаш. части ном.на 1 обл. 16.56</t>
  </si>
  <si>
    <t>Част.погаш.номин. обл. ООО СФО ВТБ РКС-1 4-01-00586-R, И988153, частичное досроч. погашение . Вел.погаш. части ном.на 1 обл. 47.</t>
  </si>
  <si>
    <t>МКПАО ЯНДЕКС</t>
  </si>
  <si>
    <t>Част.погаш.номин. обл. ООО СФО ВТБ РКС-1 4-01-00586-R, И988153, частичное досроч. погашение . Вел.погаш. части ном.на 1 обл. 42.</t>
  </si>
  <si>
    <t>Аэрофлот-росс.авиалин(ПАО)ао</t>
  </si>
  <si>
    <t>Част.погаш.номин. обл. ООО СФО ВТБ РКС-1 4-01-00586-R, И988153, частичное досроч. погашение . Вел.погаш. части ном.на 1 обл. 39.</t>
  </si>
  <si>
    <t>Част.погаш.номин. обл. АО ГТЛК 4B02-06-32432-H-001P, И988153, частичное досроч. погашение . Вел.погаш. части ном.на 1 обл. 17.25</t>
  </si>
  <si>
    <t>Част.погаш.номин. обл. ООО СФО ВТБ РКС-1 4-01-00586-R, И988153, частичное досроч. погашение . Вел.погаш. части ном.на 1 обл. 36.</t>
  </si>
  <si>
    <t>Погашение номинальной стоимости облигаций ООО СФО ВТБ РКС-1 ISIN RU000A1032P1, размер выплаты на 1 ц/б 34.96 RUB .</t>
  </si>
  <si>
    <t>Погашение номинальной стоимости облигаций ООО Интерлизинг ISIN RU000A1077X0, размер выплаты на 1 ц/б 40 RUB .</t>
  </si>
  <si>
    <t>Погашение номинальной стоимости облигаций АО ГТЛК ISIN RU000A0ZYAP9, размер выплаты на 1 ц/б 17.38 RUB .</t>
  </si>
  <si>
    <t>Погашение номинальной стоимости облигаций ООО СФО ВТБ РКС-1 ISIN RU000A1032P1, размер выплаты на 1 ц/б 32.45 RUB .</t>
  </si>
  <si>
    <t>Погашение номинальной стоимости облигаций ООО СФО ВТБ РКС Эталон ISIN RU000A105G99, размер выплаты на 1 ц/б 29.61 RUB .</t>
  </si>
  <si>
    <t>Погашение номинальной стоимости облигаций ПАО ГК Самолет ISIN RU000A104YT6, размер выплаты на 1 ц/б 1000 RUB .</t>
  </si>
  <si>
    <t>Погашение номинальной стоимости облигаций ООО СФО ВТБ РКС-1 ISIN RU000A1032P1, размер выплаты на 1 ц/б 32.8 RUB .</t>
  </si>
  <si>
    <t>Погашение номинальной стоимости облигаций ООО СФО ВТБ РКС Эталон ISIN RU000A105G99, размер выплаты на 1 ц/б 28.19 RUB .</t>
  </si>
  <si>
    <t>Погашение номинальной стоимости облигаций ООО СФО ВТБ РКС-1 ISIN RU000A1032P1, размер выплаты на 1 ц/б 31.64 RUB .</t>
  </si>
  <si>
    <t>Погашение номинальной стоимости облигаций ООО СФО ВТБ РКС Эталон ISIN RU000A105G99, размер выплаты на 1 ц/б 27.98 RUB 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</si>
  <si>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</si>
  <si>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</si>
  <si>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</si>
  <si>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</si>
  <si>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</si>
  <si>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</si>
  <si>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</si>
  <si>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</si>
  <si>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</si>
  <si>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</si>
  <si>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</si>
  <si>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ВТБ ИИС</t>
  </si>
  <si>
    <t>Сбербанк-п</t>
  </si>
  <si>
    <t>Полюс</t>
  </si>
  <si>
    <t>Купон</t>
  </si>
  <si>
    <t>Казахст01</t>
  </si>
  <si>
    <t>КЛС БО-02</t>
  </si>
  <si>
    <t>ИЭКХолд1Р2</t>
  </si>
  <si>
    <t>ГарИнв2P06</t>
  </si>
  <si>
    <t>РКК БО-01</t>
  </si>
  <si>
    <t>РН БАНК1Р9</t>
  </si>
  <si>
    <t>СамолетP12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</si>
  <si>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</si>
  <si>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</si>
  <si>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</si>
  <si>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</si>
  <si>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</si>
  <si>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</si>
  <si>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</si>
  <si>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</si>
  <si>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</si>
  <si>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</si>
  <si>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</si>
  <si>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</si>
  <si>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</si>
  <si>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</si>
  <si>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</si>
  <si>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</si>
  <si>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ВТБ ао</t>
  </si>
  <si>
    <t>РуссНфт ао</t>
  </si>
  <si>
    <t>ПИФ Акции</t>
  </si>
  <si>
    <t>Совкомфлот</t>
  </si>
  <si>
    <t>СПБ Биржа</t>
  </si>
  <si>
    <t>Мечел ап</t>
  </si>
  <si>
    <t>МТС Банк</t>
  </si>
  <si>
    <t>ЭН+ГРУП ао</t>
  </si>
  <si>
    <t>ЯНДЕКС</t>
  </si>
  <si>
    <t>Аэрофлот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</si>
</sst>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9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117</v>
      </c>
      <c r="F2" s="6" t="n">
        <v>462.4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0.1546</v>
      </c>
      <c r="L2" s="6" t="n">
        <v>448.53</v>
      </c>
      <c r="M2" s="17" t="n">
        <v>5.8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309.75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0.7888</v>
      </c>
      <c r="L3" s="6" t="n">
        <v>226.86</v>
      </c>
      <c r="M3" s="17" t="n">
        <v>1.66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900</v>
      </c>
      <c r="F4" s="6" t="n">
        <v>8.865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0.1795</v>
      </c>
      <c r="L4" s="6" t="n">
        <v>8.33</v>
      </c>
      <c r="M4" s="17" t="n">
        <v>0.86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500</v>
      </c>
      <c r="F5" s="6" t="n">
        <v>14.99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0.0328</v>
      </c>
      <c r="L5" s="6" t="n">
        <v>14.75</v>
      </c>
      <c r="M5" s="17" t="n">
        <v>0.8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3483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-0.3201</v>
      </c>
      <c r="L6" s="6" t="n">
        <v>5546.18</v>
      </c>
      <c r="M6" s="17" t="n">
        <v>0.75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6542.5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0.4566</v>
      </c>
      <c r="L7" s="6" t="n">
        <v>3802.28</v>
      </c>
      <c r="M7" s="17" t="n">
        <v>0.7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50</v>
      </c>
      <c r="F8" s="6" t="n">
        <v>129.8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0.1536</v>
      </c>
      <c r="L8" s="6" t="n">
        <v>112.53</v>
      </c>
      <c r="M8" s="17" t="n">
        <v>0.7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12</v>
      </c>
      <c r="F9" s="6" t="n">
        <v>527.35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-0.0891</v>
      </c>
      <c r="L9" s="6" t="n">
        <v>655.45</v>
      </c>
      <c r="M9" s="17" t="n">
        <v>0.68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</v>
      </c>
      <c r="F10" s="6" t="n">
        <v>1229.6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-0.0008</v>
      </c>
      <c r="L10" s="6" t="n">
        <v>1341.07</v>
      </c>
      <c r="M10" s="17" t="n">
        <v>0.66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7</v>
      </c>
      <c r="F11" s="6" t="n">
        <v>817.3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0.1562</v>
      </c>
      <c r="L11" s="6" t="n">
        <v>674.63</v>
      </c>
      <c r="M11" s="17" t="n">
        <v>0.61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200</v>
      </c>
      <c r="F12" s="6" t="n">
        <v>22.81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-0.1996</v>
      </c>
      <c r="L12" s="6" t="n">
        <v>32.29</v>
      </c>
      <c r="M12" s="17" t="n">
        <v>0.49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100</v>
      </c>
      <c r="F13" s="6" t="n">
        <v>45.55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0.2506</v>
      </c>
      <c r="L13" s="6" t="n">
        <v>36.42</v>
      </c>
      <c r="M13" s="17" t="n">
        <v>0.49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6000</v>
      </c>
      <c r="F14" s="6" t="n">
        <v>0.62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-0.1366</v>
      </c>
      <c r="L14" s="6" t="n">
        <v>0.74</v>
      </c>
      <c r="M14" s="17" t="n">
        <v>0.4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2</v>
      </c>
      <c r="F15" s="6" t="n">
        <v>1817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0.9779</v>
      </c>
      <c r="L15" s="6" t="n">
        <v>680.54</v>
      </c>
      <c r="M15" s="17" t="n">
        <v>0.39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200</v>
      </c>
      <c r="F16" s="6" t="n">
        <v>16.196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0.1314</v>
      </c>
      <c r="L16" s="6" t="n">
        <v>13.16</v>
      </c>
      <c r="M16" s="17" t="n">
        <v>0.35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50</v>
      </c>
      <c r="F17" s="6" t="n">
        <v>59.45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-0.014</v>
      </c>
      <c r="L17" s="6" t="n">
        <v>60.44</v>
      </c>
      <c r="M17" s="17" t="n">
        <v>0.32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22000</v>
      </c>
      <c r="F18" s="6" t="n">
        <v>0.13185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-0.3222</v>
      </c>
      <c r="L18" s="6" t="n">
        <v>0.22</v>
      </c>
      <c r="M18" s="17" t="n">
        <v>0.31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1314.6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0.1375</v>
      </c>
      <c r="L19" s="6" t="n">
        <v>1438.66</v>
      </c>
      <c r="M19" s="17" t="n">
        <v>0.28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120.82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-0.2586</v>
      </c>
      <c r="L20" s="6" t="n">
        <v>172.11</v>
      </c>
      <c r="M20" s="17" t="n">
        <v>0.26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</v>
      </c>
      <c r="F21" s="6" t="n">
        <v>598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0.0778</v>
      </c>
      <c r="L21" s="6" t="n">
        <v>596.43</v>
      </c>
      <c r="M21" s="17" t="n">
        <v>0.26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40</v>
      </c>
      <c r="F22" s="6" t="n">
        <v>47.25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-0.0744</v>
      </c>
      <c r="L22" s="6" t="n">
        <v>69.08</v>
      </c>
      <c r="M22" s="17" t="n">
        <v>0.2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</v>
      </c>
      <c r="F23" s="6" t="n">
        <v>176.78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0.2973</v>
      </c>
      <c r="L23" s="6" t="n">
        <v>92.76</v>
      </c>
      <c r="M23" s="17" t="n">
        <v>0.19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180.2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-0.2947</v>
      </c>
      <c r="L24" s="6" t="n">
        <v>274.36</v>
      </c>
      <c r="M24" s="17" t="n">
        <v>0.19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1000</v>
      </c>
      <c r="F25" s="6" t="n">
        <v>1.666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0.1242</v>
      </c>
      <c r="L25" s="6" t="n">
        <v>1.43</v>
      </c>
      <c r="M25" s="17" t="n">
        <v>0.18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20</v>
      </c>
      <c r="F26" s="6" t="n">
        <v>69.11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0.0545</v>
      </c>
      <c r="L26" s="6" t="n">
        <v>70.18</v>
      </c>
      <c r="M26" s="17" t="n">
        <v>0.15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10</v>
      </c>
      <c r="F27" s="6" t="n">
        <v>130.93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-0.0601</v>
      </c>
      <c r="L27" s="6" t="n">
        <v>207.29</v>
      </c>
      <c r="M27" s="17" t="n">
        <v>0.14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1343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</v>
      </c>
      <c r="L28" s="6" t="n">
        <v>2699.76</v>
      </c>
      <c r="M28" s="17" t="n">
        <v>0.14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400</v>
      </c>
      <c r="F29" s="6" t="n">
        <v>3.191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0.0966</v>
      </c>
      <c r="L29" s="6" t="n">
        <v>3.21</v>
      </c>
      <c r="M29" s="17" t="n">
        <v>0.14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3</v>
      </c>
      <c r="F30" s="6" t="n">
        <v>400.9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-0.1938</v>
      </c>
      <c r="L30" s="6" t="n">
        <v>555.28</v>
      </c>
      <c r="M30" s="17" t="n">
        <v>0.13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620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0.2359</v>
      </c>
      <c r="L31" s="6" t="n">
        <v>859.44</v>
      </c>
      <c r="M31" s="17" t="n">
        <v>0.13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10</v>
      </c>
      <c r="F32" s="6" t="n">
        <v>119.04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0.0452</v>
      </c>
      <c r="L32" s="6" t="n">
        <v>113.71</v>
      </c>
      <c r="M32" s="17" t="n">
        <v>0.13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1</v>
      </c>
      <c r="F33" s="6" t="n">
        <v>1227.6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0.221</v>
      </c>
      <c r="L33" s="6" t="n">
        <v>1243.79</v>
      </c>
      <c r="M33" s="17" t="n">
        <v>0.13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1085.8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0.183</v>
      </c>
      <c r="L34" s="6" t="n">
        <v>814.29</v>
      </c>
      <c r="M34" s="17" t="n">
        <v>0.12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20</v>
      </c>
      <c r="E35" s="7" t="n">
        <v>13402</v>
      </c>
      <c r="F35" s="6" t="n">
        <v>0.07248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-0.0356</v>
      </c>
      <c r="L35" s="6" t="n">
        <v>0.09</v>
      </c>
      <c r="M35" s="17" t="n">
        <v>0.1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20</v>
      </c>
      <c r="E36" s="7" t="n">
        <v>20</v>
      </c>
      <c r="F36" s="6" t="n">
        <v>47.64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0.065</v>
      </c>
      <c r="L36" s="6" t="n">
        <v>45.32</v>
      </c>
      <c r="M36" s="17" t="n">
        <v>0.1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1</v>
      </c>
      <c r="F37" s="6" t="n">
        <v>792.8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0.3311</v>
      </c>
      <c r="L37" s="6" t="n">
        <v>498.25</v>
      </c>
      <c r="M37" s="17" t="n">
        <v>0.09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20</v>
      </c>
      <c r="E38" s="7" t="n">
        <v>1</v>
      </c>
      <c r="F38" s="6" t="n">
        <v>634.4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-0.063</v>
      </c>
      <c r="L38" s="6" t="n">
        <v>795.08</v>
      </c>
      <c r="M38" s="17" t="n">
        <v>0.07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20</v>
      </c>
      <c r="E39" s="7" t="n">
        <v>20</v>
      </c>
      <c r="F39" s="6" t="n">
        <v>34.435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-0.1397</v>
      </c>
      <c r="L39" s="6" t="n">
        <v>57.37</v>
      </c>
      <c r="M39" s="17" t="n">
        <v>0.07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10</v>
      </c>
      <c r="F40" s="6" t="n">
        <v>51.02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-0.0985</v>
      </c>
      <c r="L40" s="6" t="n">
        <v>76.71</v>
      </c>
      <c r="M40" s="17" t="n">
        <v>0.05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20</v>
      </c>
      <c r="E41" s="7" t="n">
        <v>3</v>
      </c>
      <c r="F41" s="6" t="n">
        <v>117.5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-0.376</v>
      </c>
      <c r="L41" s="6" t="n">
        <v>220.87</v>
      </c>
      <c r="M41" s="17" t="n">
        <v>0.04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20</v>
      </c>
      <c r="E42" s="7" t="n">
        <v>10</v>
      </c>
      <c r="F42" s="6" t="n">
        <v>33.34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0.0566</v>
      </c>
      <c r="L42" s="6" t="n">
        <v>32.02</v>
      </c>
      <c r="M42" s="17" t="n">
        <v>0.04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18</v>
      </c>
      <c r="C43" s="2" t="s">
        <v>117</v>
      </c>
      <c r="D43" s="2" t="s">
        <v>20</v>
      </c>
      <c r="E43" s="7" t="n">
        <v>3</v>
      </c>
      <c r="F43" s="6" t="n">
        <v>83.28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-0.0823</v>
      </c>
      <c r="L43" s="6" t="n">
        <v>105.94</v>
      </c>
      <c r="M43" s="17" t="n">
        <v>0.03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118</v>
      </c>
      <c r="B44" s="2" t="s">
        <v>18</v>
      </c>
      <c r="C44" s="2" t="s">
        <v>119</v>
      </c>
      <c r="D44" s="2" t="s">
        <v>20</v>
      </c>
      <c r="E44" s="7" t="n">
        <v>2</v>
      </c>
      <c r="F44" s="6" t="n">
        <v>89.6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-0.2517</v>
      </c>
      <c r="L44" s="6" t="n">
        <v>222.14</v>
      </c>
      <c r="M44" s="17" t="n">
        <v>0.02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120</v>
      </c>
      <c r="B45" s="2" t="s">
        <v>18</v>
      </c>
      <c r="C45" s="2" t="s">
        <v>121</v>
      </c>
      <c r="D45" s="2" t="s">
        <v>20</v>
      </c>
      <c r="E45" s="7" t="n">
        <v>100</v>
      </c>
      <c r="F45" s="6" t="n">
        <v>1.56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-0.259</v>
      </c>
      <c r="L45" s="6" t="n">
        <v>7.21</v>
      </c>
      <c r="M45" s="17" t="n">
        <v>0.02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122</v>
      </c>
      <c r="I46" s="4"/>
      <c r="J46" s="5" t="s">
        <f>=SUM(J2:J45)</f>
      </c>
      <c r="K46" s="4"/>
      <c r="L46" s="4"/>
      <c r="M46" s="10" t="s">
        <f>=J46/J92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123</v>
      </c>
      <c r="B47" s="2" t="s">
        <v>124</v>
      </c>
      <c r="C47" s="2" t="s">
        <v>125</v>
      </c>
      <c r="D47" s="2" t="s">
        <v>33</v>
      </c>
      <c r="E47" s="7" t="n">
        <v>769</v>
      </c>
      <c r="F47" s="6" t="n">
        <v>11.23</v>
      </c>
      <c r="G47" s="17" t="n">
        <v>0</v>
      </c>
      <c r="H47" s="6" t="n">
        <v>0</v>
      </c>
      <c r="I47" s="2"/>
      <c r="J47" s="6" t="s">
        <f>=E47*F47*Портфель!$Q$6</f>
      </c>
      <c r="K47" s="9" t="n">
        <v>-0.0116</v>
      </c>
      <c r="L47" s="6" t="n">
        <v>136.23</v>
      </c>
      <c r="M47" s="17" t="n">
        <v>10.83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126</v>
      </c>
      <c r="B48" s="2" t="s">
        <v>124</v>
      </c>
      <c r="C48" s="2" t="s">
        <v>127</v>
      </c>
      <c r="D48" s="2" t="s">
        <v>20</v>
      </c>
      <c r="E48" s="7" t="n">
        <v>314</v>
      </c>
      <c r="F48" s="6" t="n">
        <v>183.64</v>
      </c>
      <c r="G48" s="17" t="n">
        <v>0</v>
      </c>
      <c r="H48" s="6" t="n">
        <v>0</v>
      </c>
      <c r="I48" s="2"/>
      <c r="J48" s="6" t="s">
        <f>=E48*F48*Портфель!$Q$13</f>
      </c>
      <c r="K48" s="9" t="n">
        <v>0.2218</v>
      </c>
      <c r="L48" s="6" t="n">
        <v>141.94</v>
      </c>
      <c r="M48" s="17" t="n">
        <v>6.18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128</v>
      </c>
      <c r="B49" s="2" t="s">
        <v>124</v>
      </c>
      <c r="C49" s="2" t="s">
        <v>129</v>
      </c>
      <c r="D49" s="2" t="s">
        <v>20</v>
      </c>
      <c r="E49" s="7" t="n">
        <v>15464</v>
      </c>
      <c r="F49" s="6" t="n">
        <v>2.499</v>
      </c>
      <c r="G49" s="17" t="n">
        <v>0</v>
      </c>
      <c r="H49" s="6" t="n">
        <v>0</v>
      </c>
      <c r="I49" s="2"/>
      <c r="J49" s="6" t="s">
        <f>=E49*F49*Портфель!$Q$13</f>
      </c>
      <c r="K49" s="9" t="n">
        <v>0.3531</v>
      </c>
      <c r="L49" s="6" t="n">
        <v>1.54</v>
      </c>
      <c r="M49" s="17" t="n">
        <v>4.14</v>
      </c>
      <c r="N49" s="2" t="s">
        <v>130</v>
      </c>
      <c r="O49" s="2"/>
      <c r="P49" s="17"/>
      <c r="Q49" s="17"/>
    </row>
    <row collapsed="false" customFormat="false" customHeight="false" hidden="false" ht="12.1" outlineLevel="0" r="50">
      <c r="A50" s="2" t="s">
        <v>131</v>
      </c>
      <c r="B50" s="2" t="s">
        <v>124</v>
      </c>
      <c r="C50" s="2" t="s">
        <v>132</v>
      </c>
      <c r="D50" s="2" t="s">
        <v>20</v>
      </c>
      <c r="E50" s="7" t="n">
        <v>135</v>
      </c>
      <c r="F50" s="6" t="n">
        <v>147.6</v>
      </c>
      <c r="G50" s="17" t="n">
        <v>0</v>
      </c>
      <c r="H50" s="6" t="n">
        <v>0</v>
      </c>
      <c r="I50" s="2"/>
      <c r="J50" s="6" t="s">
        <f>=E50*F50*Портфель!$Q$13</f>
      </c>
      <c r="K50" s="9" t="n">
        <v>0.196</v>
      </c>
      <c r="L50" s="6" t="n">
        <v>124.16</v>
      </c>
      <c r="M50" s="17" t="n">
        <v>2.14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133</v>
      </c>
      <c r="B51" s="2" t="s">
        <v>124</v>
      </c>
      <c r="C51" s="2" t="s">
        <v>134</v>
      </c>
      <c r="D51" s="2" t="s">
        <v>20</v>
      </c>
      <c r="E51" s="7" t="n">
        <v>8247</v>
      </c>
      <c r="F51" s="6" t="n">
        <v>1.7935</v>
      </c>
      <c r="G51" s="17" t="n">
        <v>0</v>
      </c>
      <c r="H51" s="6" t="n">
        <v>0</v>
      </c>
      <c r="I51" s="2"/>
      <c r="J51" s="6" t="s">
        <f>=E51*F51*Портфель!$Q$13</f>
      </c>
      <c r="K51" s="9" t="n">
        <v>0.166</v>
      </c>
      <c r="L51" s="6" t="n">
        <v>1.72</v>
      </c>
      <c r="M51" s="17" t="n">
        <v>1.59</v>
      </c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135</v>
      </c>
      <c r="I52" s="4"/>
      <c r="J52" s="5" t="s">
        <f>=SUM(J47:J51)</f>
      </c>
      <c r="K52" s="4"/>
      <c r="L52" s="4"/>
      <c r="M52" s="10" t="s">
        <f>=J52/J92</f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136</v>
      </c>
      <c r="B53" s="2" t="s">
        <v>137</v>
      </c>
      <c r="C53" s="2" t="s">
        <v>138</v>
      </c>
      <c r="D53" s="2" t="s">
        <v>20</v>
      </c>
      <c r="E53" s="7" t="n">
        <v>88</v>
      </c>
      <c r="F53" s="6" t="n">
        <v>60.724</v>
      </c>
      <c r="G53" s="17" t="n">
        <v>1000</v>
      </c>
      <c r="H53" s="6" t="n">
        <v>19.26</v>
      </c>
      <c r="I53" s="2" t="s">
        <v>139</v>
      </c>
      <c r="J53" s="6" t="s">
        <f>=E53*((F53/100*G53)*Портфель!$Q$13 + H53*Портфель!$Q$13) </f>
      </c>
      <c r="K53" s="9" t="n">
        <v>0.2016</v>
      </c>
      <c r="L53" s="6" t="n">
        <v>559.92</v>
      </c>
      <c r="M53" s="17" t="n">
        <v>5.91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140</v>
      </c>
      <c r="B54" s="2" t="s">
        <v>137</v>
      </c>
      <c r="C54" s="2" t="s">
        <v>141</v>
      </c>
      <c r="D54" s="2" t="s">
        <v>20</v>
      </c>
      <c r="E54" s="7" t="n">
        <v>80</v>
      </c>
      <c r="F54" s="6" t="n">
        <v>64.5</v>
      </c>
      <c r="G54" s="17" t="n">
        <v>1000</v>
      </c>
      <c r="H54" s="6" t="n">
        <v>5.56</v>
      </c>
      <c r="I54" s="2" t="s">
        <v>142</v>
      </c>
      <c r="J54" s="6" t="s">
        <f>=E54*((F54/100*G54)*Портфель!$Q$13 + H54*Портфель!$Q$13) </f>
      </c>
      <c r="K54" s="9" t="n">
        <v>0.1951</v>
      </c>
      <c r="L54" s="6" t="n">
        <v>600.48</v>
      </c>
      <c r="M54" s="17" t="n">
        <v>5.58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143</v>
      </c>
      <c r="B55" s="2" t="s">
        <v>137</v>
      </c>
      <c r="C55" s="2" t="s">
        <v>144</v>
      </c>
      <c r="D55" s="2" t="s">
        <v>20</v>
      </c>
      <c r="E55" s="7" t="n">
        <v>53</v>
      </c>
      <c r="F55" s="6" t="n">
        <v>77.59</v>
      </c>
      <c r="G55" s="17" t="n">
        <v>1000</v>
      </c>
      <c r="H55" s="6" t="n">
        <v>26.58</v>
      </c>
      <c r="I55" s="2" t="s">
        <v>145</v>
      </c>
      <c r="J55" s="6" t="s">
        <f>=E55*((F55/100*G55)*Портфель!$Q$13 + H55*Портфель!$Q$13) </f>
      </c>
      <c r="K55" s="9" t="n">
        <v>0.2552</v>
      </c>
      <c r="L55" s="6" t="n">
        <v>702.06</v>
      </c>
      <c r="M55" s="17" t="n">
        <v>4.56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146</v>
      </c>
      <c r="B56" s="2" t="s">
        <v>137</v>
      </c>
      <c r="C56" s="2" t="s">
        <v>147</v>
      </c>
      <c r="D56" s="2" t="s">
        <v>20</v>
      </c>
      <c r="E56" s="7" t="n">
        <v>40</v>
      </c>
      <c r="F56" s="6" t="n">
        <v>89.305</v>
      </c>
      <c r="G56" s="17" t="n">
        <v>1000</v>
      </c>
      <c r="H56" s="6" t="n">
        <v>52.09</v>
      </c>
      <c r="I56" s="2" t="s">
        <v>148</v>
      </c>
      <c r="J56" s="6" t="s">
        <f>=E56*((F56/100*G56)*Портфель!$Q$13 + H56*Портфель!$Q$13) </f>
      </c>
      <c r="K56" s="9" t="n">
        <v>0.1633</v>
      </c>
      <c r="L56" s="6" t="n">
        <v>885.01</v>
      </c>
      <c r="M56" s="17" t="n">
        <v>4.05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149</v>
      </c>
      <c r="B57" s="2" t="s">
        <v>137</v>
      </c>
      <c r="C57" s="2" t="s">
        <v>150</v>
      </c>
      <c r="D57" s="2" t="s">
        <v>20</v>
      </c>
      <c r="E57" s="7" t="n">
        <v>45</v>
      </c>
      <c r="F57" s="6" t="n">
        <v>73.731</v>
      </c>
      <c r="G57" s="17" t="n">
        <v>1000</v>
      </c>
      <c r="H57" s="6" t="n">
        <v>34.17</v>
      </c>
      <c r="I57" s="2" t="s">
        <v>151</v>
      </c>
      <c r="J57" s="6" t="s">
        <f>=E57*((F57/100*G57)*Портфель!$Q$13 + H57*Портфель!$Q$13) </f>
      </c>
      <c r="K57" s="9" t="n">
        <v>0.1718</v>
      </c>
      <c r="L57" s="6" t="n">
        <v>705.33</v>
      </c>
      <c r="M57" s="17" t="n">
        <v>3.72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152</v>
      </c>
      <c r="B58" s="2" t="s">
        <v>137</v>
      </c>
      <c r="C58" s="2" t="s">
        <v>153</v>
      </c>
      <c r="D58" s="2" t="s">
        <v>20</v>
      </c>
      <c r="E58" s="7" t="n">
        <v>34</v>
      </c>
      <c r="F58" s="6" t="n">
        <v>91.49</v>
      </c>
      <c r="G58" s="17" t="n">
        <v>1000</v>
      </c>
      <c r="H58" s="6" t="n">
        <v>55.57</v>
      </c>
      <c r="I58" s="2" t="s">
        <v>154</v>
      </c>
      <c r="J58" s="6" t="s">
        <f>=E58*((F58/100*G58)*Портфель!$Q$13 + H58*Портфель!$Q$13) </f>
      </c>
      <c r="K58" s="9" t="n">
        <v>0.2914</v>
      </c>
      <c r="L58" s="6" t="n">
        <v>824.43</v>
      </c>
      <c r="M58" s="17" t="n">
        <v>3.54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155</v>
      </c>
      <c r="B59" s="2" t="s">
        <v>137</v>
      </c>
      <c r="C59" s="2" t="s">
        <v>156</v>
      </c>
      <c r="D59" s="2" t="s">
        <v>20</v>
      </c>
      <c r="E59" s="7" t="n">
        <v>31</v>
      </c>
      <c r="F59" s="6" t="n">
        <v>93.87</v>
      </c>
      <c r="G59" s="17" t="n">
        <v>1000</v>
      </c>
      <c r="H59" s="6" t="n">
        <v>7.82</v>
      </c>
      <c r="I59" s="2" t="s">
        <v>157</v>
      </c>
      <c r="J59" s="6" t="s">
        <f>=E59*((F59/100*G59)*Портфель!$Q$13 + H59*Портфель!$Q$13) </f>
      </c>
      <c r="K59" s="9" t="n">
        <v>0.1887</v>
      </c>
      <c r="L59" s="6" t="n">
        <v>926.15</v>
      </c>
      <c r="M59" s="17" t="n">
        <v>3.15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158</v>
      </c>
      <c r="B60" s="2" t="s">
        <v>137</v>
      </c>
      <c r="C60" s="2" t="s">
        <v>159</v>
      </c>
      <c r="D60" s="2" t="s">
        <v>20</v>
      </c>
      <c r="E60" s="7" t="n">
        <v>34</v>
      </c>
      <c r="F60" s="6" t="n">
        <v>82.598</v>
      </c>
      <c r="G60" s="17" t="n">
        <v>1000</v>
      </c>
      <c r="H60" s="6" t="n">
        <v>32.31</v>
      </c>
      <c r="I60" s="2" t="s">
        <v>160</v>
      </c>
      <c r="J60" s="6" t="s">
        <f>=E60*((F60/100*G60)*Портфель!$Q$13 + H60*Портфель!$Q$13) </f>
      </c>
      <c r="K60" s="9" t="n">
        <v>0.1197</v>
      </c>
      <c r="L60" s="6" t="n">
        <v>796.17</v>
      </c>
      <c r="M60" s="17" t="n">
        <v>3.13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161</v>
      </c>
      <c r="B61" s="2" t="s">
        <v>137</v>
      </c>
      <c r="C61" s="2" t="s">
        <v>162</v>
      </c>
      <c r="D61" s="2" t="s">
        <v>20</v>
      </c>
      <c r="E61" s="7" t="n">
        <v>34</v>
      </c>
      <c r="F61" s="6" t="n">
        <v>82.568</v>
      </c>
      <c r="G61" s="17" t="n">
        <v>1000</v>
      </c>
      <c r="H61" s="6" t="n">
        <v>27.59</v>
      </c>
      <c r="I61" s="2" t="s">
        <v>163</v>
      </c>
      <c r="J61" s="6" t="s">
        <f>=E61*((F61/100*G61)*Портфель!$Q$13 + H61*Портфель!$Q$13) </f>
      </c>
      <c r="K61" s="9" t="n">
        <v>0.3057</v>
      </c>
      <c r="L61" s="6" t="n">
        <v>731.77</v>
      </c>
      <c r="M61" s="17" t="n">
        <v>3.11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164</v>
      </c>
      <c r="B62" s="2" t="s">
        <v>137</v>
      </c>
      <c r="C62" s="2" t="s">
        <v>165</v>
      </c>
      <c r="D62" s="2" t="s">
        <v>20</v>
      </c>
      <c r="E62" s="7" t="n">
        <v>20</v>
      </c>
      <c r="F62" s="6" t="n">
        <v>91.874</v>
      </c>
      <c r="G62" s="17" t="n">
        <v>1000</v>
      </c>
      <c r="H62" s="6" t="n">
        <v>35.57</v>
      </c>
      <c r="I62" s="2" t="s">
        <v>166</v>
      </c>
      <c r="J62" s="6" t="s">
        <f>=E62*((F62/100*G62)*Портфель!$Q$13 + H62*Портфель!$Q$13) </f>
      </c>
      <c r="K62" s="9" t="n">
        <v>0.2677</v>
      </c>
      <c r="L62" s="6" t="n">
        <v>852.42</v>
      </c>
      <c r="M62" s="17" t="n">
        <v>2.05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167</v>
      </c>
      <c r="B63" s="2" t="s">
        <v>137</v>
      </c>
      <c r="C63" s="2" t="s">
        <v>168</v>
      </c>
      <c r="D63" s="2" t="s">
        <v>20</v>
      </c>
      <c r="E63" s="7" t="n">
        <v>20</v>
      </c>
      <c r="F63" s="6" t="n">
        <v>91.845</v>
      </c>
      <c r="G63" s="17" t="n">
        <v>1000</v>
      </c>
      <c r="H63" s="6" t="n">
        <v>33.22</v>
      </c>
      <c r="I63" s="2" t="s">
        <v>169</v>
      </c>
      <c r="J63" s="6" t="s">
        <f>=E63*((F63/100*G63)*Портфель!$Q$13 + H63*Портфель!$Q$13) </f>
      </c>
      <c r="K63" s="9" t="n">
        <v>0.2716</v>
      </c>
      <c r="L63" s="6" t="n">
        <v>849.42</v>
      </c>
      <c r="M63" s="17" t="n">
        <v>2.04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170</v>
      </c>
      <c r="B64" s="2" t="s">
        <v>137</v>
      </c>
      <c r="C64" s="2" t="s">
        <v>171</v>
      </c>
      <c r="D64" s="2" t="s">
        <v>20</v>
      </c>
      <c r="E64" s="7" t="n">
        <v>19</v>
      </c>
      <c r="F64" s="6" t="n">
        <v>96.58</v>
      </c>
      <c r="G64" s="17" t="n">
        <v>1000</v>
      </c>
      <c r="H64" s="6" t="n">
        <v>7.78</v>
      </c>
      <c r="I64" s="2" t="s">
        <v>172</v>
      </c>
      <c r="J64" s="6" t="s">
        <f>=E64*((F64/100*G64)*Портфель!$Q$13 + H64*Портфель!$Q$13) </f>
      </c>
      <c r="K64" s="9" t="n">
        <v>0.1646</v>
      </c>
      <c r="L64" s="6" t="n">
        <v>933.72</v>
      </c>
      <c r="M64" s="17" t="n">
        <v>1.98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173</v>
      </c>
      <c r="B65" s="2" t="s">
        <v>137</v>
      </c>
      <c r="C65" s="2" t="s">
        <v>174</v>
      </c>
      <c r="D65" s="2" t="s">
        <v>20</v>
      </c>
      <c r="E65" s="7" t="n">
        <v>20</v>
      </c>
      <c r="F65" s="6" t="n">
        <v>81.55</v>
      </c>
      <c r="G65" s="17" t="n">
        <v>1000</v>
      </c>
      <c r="H65" s="6" t="n">
        <v>17.63</v>
      </c>
      <c r="I65" s="2" t="s">
        <v>175</v>
      </c>
      <c r="J65" s="6" t="s">
        <f>=E65*((F65/100*G65)*Портфель!$Q$13 + H65*Портфель!$Q$13) </f>
      </c>
      <c r="K65" s="9" t="n">
        <v>0.1976</v>
      </c>
      <c r="L65" s="6" t="n">
        <v>727.29</v>
      </c>
      <c r="M65" s="17" t="n">
        <v>1.79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176</v>
      </c>
      <c r="B66" s="2" t="s">
        <v>137</v>
      </c>
      <c r="C66" s="2" t="s">
        <v>177</v>
      </c>
      <c r="D66" s="2" t="s">
        <v>20</v>
      </c>
      <c r="E66" s="7" t="n">
        <v>15</v>
      </c>
      <c r="F66" s="6" t="n">
        <v>95.159</v>
      </c>
      <c r="G66" s="17" t="n">
        <v>1000</v>
      </c>
      <c r="H66" s="6" t="n">
        <v>37.37</v>
      </c>
      <c r="I66" s="2" t="s">
        <v>178</v>
      </c>
      <c r="J66" s="6" t="s">
        <f>=E66*((F66/100*G66)*Портфель!$Q$13 + H66*Портфель!$Q$13) </f>
      </c>
      <c r="K66" s="9" t="n">
        <v>0.1014</v>
      </c>
      <c r="L66" s="6" t="n">
        <v>943.63</v>
      </c>
      <c r="M66" s="17" t="n">
        <v>1.59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179</v>
      </c>
      <c r="B67" s="2" t="s">
        <v>137</v>
      </c>
      <c r="C67" s="2" t="s">
        <v>180</v>
      </c>
      <c r="D67" s="2" t="s">
        <v>20</v>
      </c>
      <c r="E67" s="7" t="n">
        <v>10</v>
      </c>
      <c r="F67" s="6" t="n">
        <v>98.625</v>
      </c>
      <c r="G67" s="17" t="n">
        <v>1000</v>
      </c>
      <c r="H67" s="6" t="n">
        <v>23.51</v>
      </c>
      <c r="I67" s="2" t="s">
        <v>181</v>
      </c>
      <c r="J67" s="6" t="s">
        <f>=E67*((F67/100*G67)*Портфель!$Q$13 + H67*Портфель!$Q$13) </f>
      </c>
      <c r="K67" s="9" t="n">
        <v>0.1193</v>
      </c>
      <c r="L67" s="6" t="n">
        <v>928.65</v>
      </c>
      <c r="M67" s="17" t="n">
        <v>1.08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182</v>
      </c>
      <c r="B68" s="2" t="s">
        <v>137</v>
      </c>
      <c r="C68" s="2" t="s">
        <v>183</v>
      </c>
      <c r="D68" s="2" t="s">
        <v>20</v>
      </c>
      <c r="E68" s="7" t="n">
        <v>12</v>
      </c>
      <c r="F68" s="6" t="n">
        <v>77.36</v>
      </c>
      <c r="G68" s="17" t="n">
        <v>1000</v>
      </c>
      <c r="H68" s="6" t="n">
        <v>9.06</v>
      </c>
      <c r="I68" s="2" t="s">
        <v>184</v>
      </c>
      <c r="J68" s="6" t="s">
        <f>=E68*((F68/100*G68)*Портфель!$Q$13 + H68*Портфель!$Q$13) </f>
      </c>
      <c r="K68" s="9" t="n">
        <v>0.1526</v>
      </c>
      <c r="L68" s="6" t="n">
        <v>720.28</v>
      </c>
      <c r="M68" s="17" t="n">
        <v>1.01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185</v>
      </c>
      <c r="B69" s="2" t="s">
        <v>137</v>
      </c>
      <c r="C69" s="2" t="s">
        <v>186</v>
      </c>
      <c r="D69" s="2" t="s">
        <v>20</v>
      </c>
      <c r="E69" s="7" t="n">
        <v>10</v>
      </c>
      <c r="F69" s="6" t="n">
        <v>83.946</v>
      </c>
      <c r="G69" s="17" t="n">
        <v>1000</v>
      </c>
      <c r="H69" s="6" t="n">
        <v>17.65</v>
      </c>
      <c r="I69" s="2" t="s">
        <v>187</v>
      </c>
      <c r="J69" s="6" t="s">
        <f>=E69*((F69/100*G69)*Портфель!$Q$13 + H69*Портфель!$Q$13) </f>
      </c>
      <c r="K69" s="9" t="n">
        <v>0.2158</v>
      </c>
      <c r="L69" s="6" t="n">
        <v>735.68</v>
      </c>
      <c r="M69" s="17" t="n">
        <v>0.92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188</v>
      </c>
      <c r="B70" s="2" t="s">
        <v>137</v>
      </c>
      <c r="C70" s="2" t="s">
        <v>189</v>
      </c>
      <c r="D70" s="2" t="s">
        <v>20</v>
      </c>
      <c r="E70" s="7" t="n">
        <v>7</v>
      </c>
      <c r="F70" s="6" t="n">
        <v>88.87</v>
      </c>
      <c r="G70" s="17" t="n">
        <v>1000</v>
      </c>
      <c r="H70" s="6" t="n">
        <v>5.25</v>
      </c>
      <c r="I70" s="2" t="s">
        <v>190</v>
      </c>
      <c r="J70" s="6" t="s">
        <f>=E70*((F70/100*G70)*Портфель!$Q$13 + H70*Портфель!$Q$13) </f>
      </c>
      <c r="K70" s="9" t="n">
        <v>0.1155</v>
      </c>
      <c r="L70" s="6" t="n">
        <v>917.56</v>
      </c>
      <c r="M70" s="17" t="n">
        <v>0.67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191</v>
      </c>
      <c r="B71" s="2" t="s">
        <v>137</v>
      </c>
      <c r="C71" s="2" t="s">
        <v>192</v>
      </c>
      <c r="D71" s="2" t="s">
        <v>20</v>
      </c>
      <c r="E71" s="7" t="n">
        <v>5</v>
      </c>
      <c r="F71" s="6" t="n">
        <v>107.59</v>
      </c>
      <c r="G71" s="17" t="n">
        <v>1000</v>
      </c>
      <c r="H71" s="6" t="n">
        <v>29.21</v>
      </c>
      <c r="I71" s="2" t="s">
        <v>193</v>
      </c>
      <c r="J71" s="6" t="s">
        <f>=E71*((F71/100*G71)*Портфель!$Q$13 + H71*Портфель!$Q$13) </f>
      </c>
      <c r="K71" s="9" t="n">
        <v>0.35</v>
      </c>
      <c r="L71" s="6" t="n">
        <v>926.35</v>
      </c>
      <c r="M71" s="17" t="n">
        <v>0.59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194</v>
      </c>
      <c r="B72" s="2" t="s">
        <v>137</v>
      </c>
      <c r="C72" s="2" t="s">
        <v>195</v>
      </c>
      <c r="D72" s="2" t="s">
        <v>20</v>
      </c>
      <c r="E72" s="7" t="n">
        <v>10</v>
      </c>
      <c r="F72" s="6" t="n">
        <v>98.75</v>
      </c>
      <c r="G72" s="17" t="n">
        <v>560</v>
      </c>
      <c r="H72" s="6" t="n">
        <v>1.23</v>
      </c>
      <c r="I72" s="2" t="s">
        <v>196</v>
      </c>
      <c r="J72" s="6" t="s">
        <f>=E72*((F72/100*G72)*Портфель!$Q$13 + H72*Портфель!$Q$13) </f>
      </c>
      <c r="K72" s="9" t="n">
        <v>0.1293</v>
      </c>
      <c r="L72" s="6" t="n">
        <v>1016.33</v>
      </c>
      <c r="M72" s="17" t="n">
        <v>0.59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197</v>
      </c>
      <c r="B73" s="2" t="s">
        <v>137</v>
      </c>
      <c r="C73" s="2" t="s">
        <v>198</v>
      </c>
      <c r="D73" s="2" t="s">
        <v>20</v>
      </c>
      <c r="E73" s="7" t="n">
        <v>5</v>
      </c>
      <c r="F73" s="6" t="n">
        <v>104.71</v>
      </c>
      <c r="G73" s="17" t="n">
        <v>1000</v>
      </c>
      <c r="H73" s="6" t="n">
        <v>11.18</v>
      </c>
      <c r="I73" s="2" t="s">
        <v>199</v>
      </c>
      <c r="J73" s="6" t="s">
        <f>=E73*((F73/100*G73)*Портфель!$Q$13 + H73*Портфель!$Q$13) </f>
      </c>
      <c r="K73" s="9" t="n">
        <v>0.2022</v>
      </c>
      <c r="L73" s="6" t="n">
        <v>930.84</v>
      </c>
      <c r="M73" s="17" t="n">
        <v>0.57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200</v>
      </c>
      <c r="B74" s="2" t="s">
        <v>137</v>
      </c>
      <c r="C74" s="2" t="s">
        <v>201</v>
      </c>
      <c r="D74" s="2" t="s">
        <v>20</v>
      </c>
      <c r="E74" s="7" t="n">
        <v>5</v>
      </c>
      <c r="F74" s="6" t="n">
        <v>93.16</v>
      </c>
      <c r="G74" s="17" t="n">
        <v>1000</v>
      </c>
      <c r="H74" s="6" t="n">
        <v>30.82</v>
      </c>
      <c r="I74" s="2" t="s">
        <v>202</v>
      </c>
      <c r="J74" s="6" t="s">
        <f>=E74*((F74/100*G74)*Портфель!$Q$13 + H74*Портфель!$Q$13) </f>
      </c>
      <c r="K74" s="9" t="n">
        <v>0.237</v>
      </c>
      <c r="L74" s="6" t="n">
        <v>841.18</v>
      </c>
      <c r="M74" s="17" t="n">
        <v>0.52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203</v>
      </c>
      <c r="B75" s="2" t="s">
        <v>137</v>
      </c>
      <c r="C75" s="2" t="s">
        <v>204</v>
      </c>
      <c r="D75" s="2" t="s">
        <v>20</v>
      </c>
      <c r="E75" s="7" t="n">
        <v>5</v>
      </c>
      <c r="F75" s="6" t="n">
        <v>96.46</v>
      </c>
      <c r="G75" s="17" t="n">
        <v>1000</v>
      </c>
      <c r="H75" s="6" t="n">
        <v>8.26</v>
      </c>
      <c r="I75" s="2" t="s">
        <v>205</v>
      </c>
      <c r="J75" s="6" t="s">
        <f>=E75*((F75/100*G75)*Портфель!$Q$13 + H75*Портфель!$Q$13) </f>
      </c>
      <c r="K75" s="9" t="n">
        <v>0.1278</v>
      </c>
      <c r="L75" s="6" t="n">
        <v>989.97</v>
      </c>
      <c r="M75" s="17" t="n">
        <v>0.52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206</v>
      </c>
      <c r="B76" s="2" t="s">
        <v>137</v>
      </c>
      <c r="C76" s="2" t="s">
        <v>207</v>
      </c>
      <c r="D76" s="2" t="s">
        <v>20</v>
      </c>
      <c r="E76" s="7" t="n">
        <v>5</v>
      </c>
      <c r="F76" s="6" t="n">
        <v>90.45</v>
      </c>
      <c r="G76" s="17" t="n">
        <v>1000</v>
      </c>
      <c r="H76" s="6" t="n">
        <v>2.03</v>
      </c>
      <c r="I76" s="2" t="s">
        <v>208</v>
      </c>
      <c r="J76" s="6" t="s">
        <f>=E76*((F76/100*G76)*Портфель!$Q$13 + H76*Портфель!$Q$13) </f>
      </c>
      <c r="K76" s="9" t="n">
        <v>0.1185</v>
      </c>
      <c r="L76" s="6" t="n">
        <v>905</v>
      </c>
      <c r="M76" s="17" t="n">
        <v>0.49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209</v>
      </c>
      <c r="B77" s="2" t="s">
        <v>137</v>
      </c>
      <c r="C77" s="2" t="s">
        <v>210</v>
      </c>
      <c r="D77" s="2" t="s">
        <v>20</v>
      </c>
      <c r="E77" s="7" t="n">
        <v>4</v>
      </c>
      <c r="F77" s="6" t="n">
        <v>102.94</v>
      </c>
      <c r="G77" s="17" t="n">
        <v>1000</v>
      </c>
      <c r="H77" s="6" t="n">
        <v>42.96</v>
      </c>
      <c r="I77" s="2" t="s">
        <v>211</v>
      </c>
      <c r="J77" s="6" t="s">
        <f>=E77*((F77/100*G77)*Портфель!$Q$13 + H77*Портфель!$Q$13) </f>
      </c>
      <c r="K77" s="9" t="n">
        <v>0.2641</v>
      </c>
      <c r="L77" s="6" t="n">
        <v>975.03</v>
      </c>
      <c r="M77" s="17" t="n">
        <v>0.46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212</v>
      </c>
      <c r="B78" s="2" t="s">
        <v>137</v>
      </c>
      <c r="C78" s="2" t="s">
        <v>213</v>
      </c>
      <c r="D78" s="2" t="s">
        <v>20</v>
      </c>
      <c r="E78" s="7" t="n">
        <v>4</v>
      </c>
      <c r="F78" s="6" t="n">
        <v>93.37</v>
      </c>
      <c r="G78" s="17" t="n">
        <v>1000</v>
      </c>
      <c r="H78" s="6" t="n">
        <v>22.63</v>
      </c>
      <c r="I78" s="2" t="s">
        <v>214</v>
      </c>
      <c r="J78" s="6" t="s">
        <f>=E78*((F78/100*G78)*Портфель!$Q$13 + H78*Портфель!$Q$13) </f>
      </c>
      <c r="K78" s="9" t="n">
        <v>0.103</v>
      </c>
      <c r="L78" s="6" t="n">
        <v>956.94</v>
      </c>
      <c r="M78" s="17" t="n">
        <v>0.41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215</v>
      </c>
      <c r="B79" s="2" t="s">
        <v>137</v>
      </c>
      <c r="C79" s="2" t="s">
        <v>216</v>
      </c>
      <c r="D79" s="2" t="s">
        <v>20</v>
      </c>
      <c r="E79" s="7" t="n">
        <v>5</v>
      </c>
      <c r="F79" s="6" t="n">
        <v>93</v>
      </c>
      <c r="G79" s="17" t="n">
        <v>800</v>
      </c>
      <c r="H79" s="6" t="n">
        <v>9.82</v>
      </c>
      <c r="I79" s="2" t="s">
        <v>217</v>
      </c>
      <c r="J79" s="6" t="s">
        <f>=E79*((F79/100*G79)*Портфель!$Q$13 + H79*Портфель!$Q$13) </f>
      </c>
      <c r="K79" s="9" t="n">
        <v>0.1406</v>
      </c>
      <c r="L79" s="6" t="n">
        <v>974.57</v>
      </c>
      <c r="M79" s="17" t="n">
        <v>0.4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218</v>
      </c>
      <c r="B80" s="2" t="s">
        <v>137</v>
      </c>
      <c r="C80" s="2" t="s">
        <v>219</v>
      </c>
      <c r="D80" s="2" t="s">
        <v>20</v>
      </c>
      <c r="E80" s="7" t="n">
        <v>3</v>
      </c>
      <c r="F80" s="6" t="n">
        <v>95.77</v>
      </c>
      <c r="G80" s="17" t="n">
        <v>1000</v>
      </c>
      <c r="H80" s="6" t="n">
        <v>3.54</v>
      </c>
      <c r="I80" s="2" t="s">
        <v>220</v>
      </c>
      <c r="J80" s="6" t="s">
        <f>=E80*((F80/100*G80)*Портфель!$Q$13 + H80*Портфель!$Q$13) </f>
      </c>
      <c r="K80" s="9" t="n">
        <v>0.1222</v>
      </c>
      <c r="L80" s="6" t="n">
        <v>934.57</v>
      </c>
      <c r="M80" s="17" t="n">
        <v>0.31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221</v>
      </c>
      <c r="B81" s="2" t="s">
        <v>137</v>
      </c>
      <c r="C81" s="2" t="s">
        <v>222</v>
      </c>
      <c r="D81" s="2" t="s">
        <v>20</v>
      </c>
      <c r="E81" s="7" t="n">
        <v>7</v>
      </c>
      <c r="F81" s="6" t="n">
        <v>95.26</v>
      </c>
      <c r="G81" s="17" t="n">
        <v>362.02</v>
      </c>
      <c r="H81" s="6" t="n">
        <v>0.79</v>
      </c>
      <c r="I81" s="2" t="s">
        <v>223</v>
      </c>
      <c r="J81" s="6" t="s">
        <f>=E81*((F81/100*G81)*Портфель!$Q$13 + H81*Портфель!$Q$13) </f>
      </c>
      <c r="K81" s="9" t="n">
        <v>0.172</v>
      </c>
      <c r="L81" s="6" t="n">
        <v>892.37</v>
      </c>
      <c r="M81" s="17" t="n">
        <v>0.26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224</v>
      </c>
      <c r="B82" s="2" t="s">
        <v>137</v>
      </c>
      <c r="C82" s="2" t="s">
        <v>225</v>
      </c>
      <c r="D82" s="2" t="s">
        <v>20</v>
      </c>
      <c r="E82" s="7" t="n">
        <v>2</v>
      </c>
      <c r="F82" s="6" t="n">
        <v>98.62</v>
      </c>
      <c r="G82" s="17" t="n">
        <v>1000</v>
      </c>
      <c r="H82" s="6" t="n">
        <v>27.49</v>
      </c>
      <c r="I82" s="2" t="s">
        <v>226</v>
      </c>
      <c r="J82" s="6" t="s">
        <f>=E82*((F82/100*G82)*Портфель!$Q$13 + H82*Портфель!$Q$13) </f>
      </c>
      <c r="K82" s="9" t="n">
        <v>0.1211</v>
      </c>
      <c r="L82" s="6" t="n">
        <v>984.18</v>
      </c>
      <c r="M82" s="17" t="n">
        <v>0.22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227</v>
      </c>
      <c r="B83" s="2" t="s">
        <v>137</v>
      </c>
      <c r="C83" s="2" t="s">
        <v>228</v>
      </c>
      <c r="D83" s="2" t="s">
        <v>20</v>
      </c>
      <c r="E83" s="7" t="n">
        <v>2</v>
      </c>
      <c r="F83" s="6" t="n">
        <v>98.5</v>
      </c>
      <c r="G83" s="17" t="n">
        <v>1000</v>
      </c>
      <c r="H83" s="6" t="n">
        <v>9.84</v>
      </c>
      <c r="I83" s="2" t="s">
        <v>229</v>
      </c>
      <c r="J83" s="6" t="s">
        <f>=E83*((F83/100*G83)*Портфель!$Q$13 + H83*Портфель!$Q$13) </f>
      </c>
      <c r="K83" s="9" t="n">
        <v>0.1116</v>
      </c>
      <c r="L83" s="6" t="n">
        <v>1047.21</v>
      </c>
      <c r="M83" s="17" t="n">
        <v>0.21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230</v>
      </c>
      <c r="B84" s="2" t="s">
        <v>137</v>
      </c>
      <c r="C84" s="2" t="s">
        <v>231</v>
      </c>
      <c r="D84" s="2" t="s">
        <v>20</v>
      </c>
      <c r="E84" s="7" t="n">
        <v>2</v>
      </c>
      <c r="F84" s="6" t="n">
        <v>89.93</v>
      </c>
      <c r="G84" s="17" t="n">
        <v>1000</v>
      </c>
      <c r="H84" s="6" t="n">
        <v>52.28</v>
      </c>
      <c r="I84" s="2" t="s">
        <v>232</v>
      </c>
      <c r="J84" s="6" t="s">
        <f>=E84*((F84/100*G84)*Портфель!$Q$13 + H84*Портфель!$Q$13) </f>
      </c>
      <c r="K84" s="9" t="n">
        <v>0.094</v>
      </c>
      <c r="L84" s="6" t="n">
        <v>992.89</v>
      </c>
      <c r="M84" s="17" t="n">
        <v>0.2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233</v>
      </c>
      <c r="B85" s="2" t="s">
        <v>137</v>
      </c>
      <c r="C85" s="2" t="s">
        <v>234</v>
      </c>
      <c r="D85" s="2" t="s">
        <v>20</v>
      </c>
      <c r="E85" s="7" t="n">
        <v>10</v>
      </c>
      <c r="F85" s="6" t="n">
        <v>98.06</v>
      </c>
      <c r="G85" s="17" t="n">
        <v>183.41</v>
      </c>
      <c r="H85" s="6" t="n">
        <v>0.5</v>
      </c>
      <c r="I85" s="2" t="s">
        <v>235</v>
      </c>
      <c r="J85" s="6" t="s">
        <f>=E85*((F85/100*G85)*Портфель!$Q$13 + H85*Портфель!$Q$13) </f>
      </c>
      <c r="K85" s="9" t="n">
        <v>0.2457</v>
      </c>
      <c r="L85" s="6" t="n">
        <v>604.04</v>
      </c>
      <c r="M85" s="17" t="n">
        <v>0.19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236</v>
      </c>
      <c r="B86" s="2" t="s">
        <v>137</v>
      </c>
      <c r="C86" s="2" t="s">
        <v>237</v>
      </c>
      <c r="D86" s="2" t="s">
        <v>20</v>
      </c>
      <c r="E86" s="7" t="n">
        <v>1</v>
      </c>
      <c r="F86" s="6" t="n">
        <v>101.54</v>
      </c>
      <c r="G86" s="17" t="n">
        <v>1000</v>
      </c>
      <c r="H86" s="6" t="n">
        <v>42.24</v>
      </c>
      <c r="I86" s="2" t="s">
        <v>238</v>
      </c>
      <c r="J86" s="6" t="s">
        <f>=E86*((F86/100*G86)*Портфель!$Q$13 + H86*Портфель!$Q$13) </f>
      </c>
      <c r="K86" s="9" t="n">
        <v>0.1369</v>
      </c>
      <c r="L86" s="6" t="n">
        <v>937.71</v>
      </c>
      <c r="M86" s="17" t="n">
        <v>0.11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239</v>
      </c>
      <c r="B87" s="2" t="s">
        <v>137</v>
      </c>
      <c r="C87" s="2" t="s">
        <v>240</v>
      </c>
      <c r="D87" s="2" t="s">
        <v>20</v>
      </c>
      <c r="E87" s="7" t="n">
        <v>2</v>
      </c>
      <c r="F87" s="6" t="n">
        <v>99.89</v>
      </c>
      <c r="G87" s="17" t="n">
        <v>340</v>
      </c>
      <c r="H87" s="6" t="n">
        <v>17.16</v>
      </c>
      <c r="I87" s="2" t="s">
        <v>241</v>
      </c>
      <c r="J87" s="6" t="s">
        <f>=E87*((F87/100*G87)*Портфель!$Q$13 + H87*Портфель!$Q$13) </f>
      </c>
      <c r="K87" s="9" t="n">
        <v>0.1478</v>
      </c>
      <c r="L87" s="6" t="n">
        <v>980.35</v>
      </c>
      <c r="M87" s="17" t="n">
        <v>0.08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242</v>
      </c>
      <c r="B88" s="2" t="s">
        <v>137</v>
      </c>
      <c r="C88" s="2" t="s">
        <v>243</v>
      </c>
      <c r="D88" s="2" t="s">
        <v>20</v>
      </c>
      <c r="E88" s="7" t="n">
        <v>1</v>
      </c>
      <c r="F88" s="6" t="n">
        <v>100.52</v>
      </c>
      <c r="G88" s="17" t="n">
        <v>571.23</v>
      </c>
      <c r="H88" s="6" t="n">
        <v>0.31</v>
      </c>
      <c r="I88" s="2" t="s">
        <v>244</v>
      </c>
      <c r="J88" s="6" t="s">
        <f>=E88*((F88/100*G88)*Портфель!$Q$13 + H88*Портфель!$Q$13) </f>
      </c>
      <c r="K88" s="9" t="n">
        <v>0.0982</v>
      </c>
      <c r="L88" s="6" t="n">
        <v>724.33</v>
      </c>
      <c r="M88" s="17" t="n">
        <v>0.06</v>
      </c>
      <c r="N88" s="2"/>
      <c r="O88" s="2"/>
      <c r="P88" s="17"/>
      <c r="Q88" s="17"/>
    </row>
    <row collapsed="false" customFormat="false" customHeight="false" hidden="false" ht="12.1" outlineLevel="0" r="89">
      <c r="A89" s="2"/>
      <c r="B89" s="2"/>
      <c r="C89" s="2"/>
      <c r="D89" s="2"/>
      <c r="E89" s="7"/>
      <c r="F89" s="6"/>
      <c r="G89" s="4"/>
      <c r="H89" s="4" t="s">
        <v>245</v>
      </c>
      <c r="I89" s="4"/>
      <c r="J89" s="5" t="s">
        <f>=SUM(J53:J88)</f>
      </c>
      <c r="K89" s="4"/>
      <c r="L89" s="4"/>
      <c r="M89" s="10" t="s">
        <f>=J89/J92</f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20</v>
      </c>
      <c r="B90" s="2" t="s">
        <v>3</v>
      </c>
      <c r="C90" s="2" t="s">
        <v>246</v>
      </c>
      <c r="D90" s="2" t="s">
        <v>20</v>
      </c>
      <c r="E90" s="7" t="n">
        <v>-3035.23</v>
      </c>
      <c r="F90" s="6" t="n">
        <v>1</v>
      </c>
      <c r="G90" s="17" t="n">
        <v>0</v>
      </c>
      <c r="H90" s="6" t="n">
        <v>0</v>
      </c>
      <c r="I90" s="2"/>
      <c r="J90" s="6" t="s">
        <f>=E90*F90</f>
      </c>
      <c r="K90" s="17"/>
      <c r="L90" s="6"/>
      <c r="M90" s="17"/>
      <c r="N90" s="2"/>
      <c r="O90" s="2"/>
      <c r="P90" s="17"/>
      <c r="Q90" s="17"/>
    </row>
    <row collapsed="false" customFormat="false" customHeight="false" hidden="false" ht="12.1" outlineLevel="0" r="91">
      <c r="A91" s="2"/>
      <c r="B91" s="2"/>
      <c r="C91" s="2"/>
      <c r="D91" s="2"/>
      <c r="E91" s="7"/>
      <c r="F91" s="6"/>
      <c r="G91" s="4"/>
      <c r="H91" s="4" t="s">
        <v>247</v>
      </c>
      <c r="I91" s="4"/>
      <c r="J91" s="5" t="s">
        <f>=SUM(J90:J90)</f>
      </c>
      <c r="K91" s="4"/>
      <c r="L91" s="4"/>
      <c r="M91" s="10" t="s">
        <f>=J91/J92</f>
      </c>
      <c r="N91" s="2"/>
      <c r="O91" s="2"/>
      <c r="P91" s="17"/>
      <c r="Q91" s="17"/>
    </row>
    <row collapsed="false" customFormat="false" customHeight="false" hidden="false" ht="12.1" outlineLevel="0" r="92">
      <c r="A92" s="2"/>
      <c r="B92" s="2"/>
      <c r="C92" s="2"/>
      <c r="D92" s="2"/>
      <c r="E92" s="7"/>
      <c r="F92" s="6"/>
      <c r="G92" s="4"/>
      <c r="H92" s="4" t="s">
        <v>248</v>
      </c>
      <c r="I92" s="4"/>
      <c r="J92" s="5" t="s">
        <f>=J46+J52+J89+J91</f>
      </c>
      <c r="K92" s="17"/>
      <c r="L92" s="6"/>
      <c r="M92" s="17"/>
      <c r="N92" s="2"/>
      <c r="O92" s="2"/>
      <c r="P92" s="17"/>
      <c r="Q92" s="17"/>
    </row>
  </sheetData>
  <mergeCells>
    <mergeCell ref="H46:I46"/>
    <mergeCell ref="H52:I52"/>
    <mergeCell ref="H89:I89"/>
    <mergeCell ref="H91:I9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249</v>
      </c>
      <c r="B1" s="18" t="s">
        <v>9</v>
      </c>
      <c r="C1" s="18" t="s">
        <v>250</v>
      </c>
      <c r="D1" s="18" t="s">
        <v>251</v>
      </c>
      <c r="E1" s="18" t="s">
        <v>252</v>
      </c>
      <c r="F1" s="18" t="s">
        <v>253</v>
      </c>
      <c r="G1" s="18" t="s">
        <v>254</v>
      </c>
      <c r="H1" s="18" t="s">
        <v>255</v>
      </c>
      <c r="I1" s="18" t="s">
        <v>256</v>
      </c>
    </row>
    <row collapsed="false" customFormat="false" customHeight="false" hidden="false" ht="12.1" outlineLevel="0" r="2">
      <c r="A2" s="14" t="n">
        <v>44628</v>
      </c>
      <c r="B2" s="6" t="n">
        <v>2600</v>
      </c>
      <c r="C2" s="6" t="n">
        <v>2600</v>
      </c>
      <c r="D2" s="2" t="s">
        <v>257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44643</v>
      </c>
      <c r="B3" s="6" t="n">
        <v>200</v>
      </c>
      <c r="C3" s="6" t="n">
        <v>200</v>
      </c>
      <c r="D3" s="2" t="s">
        <v>257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44645</v>
      </c>
      <c r="B4" s="6" t="n">
        <v>777</v>
      </c>
      <c r="C4" s="6" t="n">
        <v>777</v>
      </c>
      <c r="D4" s="2" t="s">
        <v>257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44648</v>
      </c>
      <c r="B5" s="6" t="n">
        <v>400</v>
      </c>
      <c r="C5" s="6" t="n">
        <v>400</v>
      </c>
      <c r="D5" s="2" t="s">
        <v>257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44650</v>
      </c>
      <c r="B6" s="6" t="n">
        <v>1660</v>
      </c>
      <c r="C6" s="6" t="n">
        <v>1660</v>
      </c>
      <c r="D6" s="2" t="s">
        <v>257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44651</v>
      </c>
      <c r="B7" s="6" t="n">
        <v>40</v>
      </c>
      <c r="C7" s="6" t="n">
        <v>40</v>
      </c>
      <c r="D7" s="2" t="s">
        <v>257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44655</v>
      </c>
      <c r="B8" s="6" t="n">
        <v>1400</v>
      </c>
      <c r="C8" s="6" t="n">
        <v>1400</v>
      </c>
      <c r="D8" s="2" t="s">
        <v>257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44659</v>
      </c>
      <c r="B9" s="6" t="n">
        <v>885</v>
      </c>
      <c r="C9" s="6" t="n">
        <v>885</v>
      </c>
      <c r="D9" s="2" t="s">
        <v>257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44662</v>
      </c>
      <c r="B10" s="6" t="n">
        <v>200</v>
      </c>
      <c r="C10" s="6" t="n">
        <v>200</v>
      </c>
      <c r="D10" s="2" t="s">
        <v>257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44669</v>
      </c>
      <c r="B11" s="6" t="n">
        <v>1000</v>
      </c>
      <c r="C11" s="6" t="n">
        <v>1000</v>
      </c>
      <c r="D11" s="2" t="s">
        <v>257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44670</v>
      </c>
      <c r="B12" s="6" t="n">
        <v>3500</v>
      </c>
      <c r="C12" s="6" t="n">
        <v>3500</v>
      </c>
      <c r="D12" s="2" t="s">
        <v>257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44671</v>
      </c>
      <c r="B13" s="6" t="n">
        <v>1000</v>
      </c>
      <c r="C13" s="6" t="n">
        <v>1000</v>
      </c>
      <c r="D13" s="2" t="s">
        <v>257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44672</v>
      </c>
      <c r="B14" s="6" t="n">
        <v>3500</v>
      </c>
      <c r="C14" s="6" t="n">
        <v>3500</v>
      </c>
      <c r="D14" s="2" t="s">
        <v>257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44673</v>
      </c>
      <c r="B15" s="6" t="n">
        <v>5000</v>
      </c>
      <c r="C15" s="6" t="n">
        <v>5000</v>
      </c>
      <c r="D15" s="2" t="s">
        <v>257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44685</v>
      </c>
      <c r="B16" s="6" t="n">
        <v>1300</v>
      </c>
      <c r="C16" s="6" t="n">
        <v>1300</v>
      </c>
      <c r="D16" s="2" t="s">
        <v>257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44687</v>
      </c>
      <c r="B17" s="6" t="n">
        <v>113</v>
      </c>
      <c r="C17" s="6" t="n">
        <v>113</v>
      </c>
      <c r="D17" s="2" t="s">
        <v>257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44689</v>
      </c>
      <c r="B18" s="6" t="n">
        <v>-12.4</v>
      </c>
      <c r="C18" s="6" t="n">
        <v>-12.4</v>
      </c>
      <c r="D18" s="2" t="s">
        <v>258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44694</v>
      </c>
      <c r="B19" s="6" t="n">
        <v>78</v>
      </c>
      <c r="C19" s="6" t="n">
        <v>78</v>
      </c>
      <c r="D19" s="2" t="s">
        <v>257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44705</v>
      </c>
      <c r="B20" s="6" t="n">
        <v>1318</v>
      </c>
      <c r="C20" s="6" t="n">
        <v>1318</v>
      </c>
      <c r="D20" s="2" t="s">
        <v>257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44721</v>
      </c>
      <c r="B21" s="6" t="n">
        <v>41</v>
      </c>
      <c r="C21" s="6" t="n">
        <v>41</v>
      </c>
      <c r="D21" s="2" t="s">
        <v>257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44722</v>
      </c>
      <c r="B22" s="6" t="n">
        <v>-20.66</v>
      </c>
      <c r="C22" s="6" t="n">
        <v>-20.66</v>
      </c>
      <c r="D22" s="2" t="s">
        <v>259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44739</v>
      </c>
      <c r="B23" s="6" t="n">
        <v>143</v>
      </c>
      <c r="C23" s="6" t="n">
        <v>143</v>
      </c>
      <c r="D23" s="2" t="s">
        <v>257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44740</v>
      </c>
      <c r="B24" s="6" t="n">
        <v>79.72</v>
      </c>
      <c r="C24" s="6" t="n">
        <v>79.72</v>
      </c>
      <c r="D24" s="2" t="s">
        <v>257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44743</v>
      </c>
      <c r="B25" s="6" t="n">
        <v>99.24</v>
      </c>
      <c r="C25" s="6" t="n">
        <v>99.24</v>
      </c>
      <c r="D25" s="2" t="s">
        <v>257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44746</v>
      </c>
      <c r="B26" s="6" t="n">
        <v>1200</v>
      </c>
      <c r="C26" s="6" t="n">
        <v>1200</v>
      </c>
      <c r="D26" s="2" t="s">
        <v>257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44748</v>
      </c>
      <c r="B27" s="6" t="n">
        <v>56.88</v>
      </c>
      <c r="C27" s="6" t="n">
        <v>56.88</v>
      </c>
      <c r="D27" s="2" t="s">
        <v>257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44753</v>
      </c>
      <c r="B28" s="6" t="n">
        <v>-20.63</v>
      </c>
      <c r="C28" s="6" t="n">
        <v>-20.63</v>
      </c>
      <c r="D28" s="2" t="s">
        <v>260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44756</v>
      </c>
      <c r="B29" s="6" t="n">
        <v>680</v>
      </c>
      <c r="C29" s="6" t="n">
        <v>680</v>
      </c>
      <c r="D29" s="2" t="s">
        <v>257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44757</v>
      </c>
      <c r="B30" s="6" t="n">
        <v>1000</v>
      </c>
      <c r="C30" s="6" t="n">
        <v>1000</v>
      </c>
      <c r="D30" s="2" t="s">
        <v>257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44762</v>
      </c>
      <c r="B31" s="6" t="n">
        <v>-412</v>
      </c>
      <c r="C31" s="6" t="n">
        <v>-412</v>
      </c>
      <c r="D31" s="2" t="s">
        <v>261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44788</v>
      </c>
      <c r="B32" s="6" t="n">
        <v>200</v>
      </c>
      <c r="C32" s="6" t="n">
        <v>200</v>
      </c>
      <c r="D32" s="2" t="s">
        <v>257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44795</v>
      </c>
      <c r="B33" s="6" t="n">
        <v>800</v>
      </c>
      <c r="C33" s="6" t="n">
        <v>800</v>
      </c>
      <c r="D33" s="2" t="s">
        <v>257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44806</v>
      </c>
      <c r="B34" s="6" t="n">
        <v>150</v>
      </c>
      <c r="C34" s="6" t="n">
        <v>150</v>
      </c>
      <c r="D34" s="2" t="s">
        <v>257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44825</v>
      </c>
      <c r="B35" s="6" t="n">
        <v>-22.93</v>
      </c>
      <c r="C35" s="6" t="n">
        <v>-22.93</v>
      </c>
      <c r="D35" s="2" t="s">
        <v>262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44845</v>
      </c>
      <c r="B36" s="6" t="n">
        <v>-444.3</v>
      </c>
      <c r="C36" s="6" t="n">
        <v>-444.3</v>
      </c>
      <c r="D36" s="2" t="s">
        <v>263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44854</v>
      </c>
      <c r="B37" s="6" t="n">
        <v>-21.2</v>
      </c>
      <c r="C37" s="6" t="n">
        <v>-21.2</v>
      </c>
      <c r="D37" s="2" t="s">
        <v>264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44893</v>
      </c>
      <c r="B38" s="6" t="n">
        <v>310</v>
      </c>
      <c r="C38" s="6" t="n">
        <v>310</v>
      </c>
      <c r="D38" s="2" t="s">
        <v>257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44916</v>
      </c>
      <c r="B39" s="6" t="n">
        <v>-467</v>
      </c>
      <c r="C39" s="6" t="n">
        <v>-467</v>
      </c>
      <c r="D39" s="2" t="s">
        <v>265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44916</v>
      </c>
      <c r="B40" s="6" t="n">
        <v>-223</v>
      </c>
      <c r="C40" s="6" t="n">
        <v>-223</v>
      </c>
      <c r="D40" s="2" t="s">
        <v>266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-35.78</v>
      </c>
      <c r="C41" s="6" t="n">
        <v>-35.78</v>
      </c>
      <c r="D41" s="2" t="s">
        <v>267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45057</v>
      </c>
      <c r="B42" s="6" t="n">
        <v>-217</v>
      </c>
      <c r="C42" s="6" t="n">
        <v>-217</v>
      </c>
      <c r="D42" s="2" t="s">
        <v>268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45076</v>
      </c>
      <c r="B43" s="6" t="n">
        <v>-49.73</v>
      </c>
      <c r="C43" s="6" t="n">
        <v>-49.73</v>
      </c>
      <c r="D43" s="2" t="s">
        <v>269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45082</v>
      </c>
      <c r="B44" s="6" t="n">
        <v>-381</v>
      </c>
      <c r="C44" s="6" t="n">
        <v>-381</v>
      </c>
      <c r="D44" s="2" t="s">
        <v>270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45089</v>
      </c>
      <c r="B45" s="6" t="n">
        <v>-26.92</v>
      </c>
      <c r="C45" s="6" t="n">
        <v>-26.92</v>
      </c>
      <c r="D45" s="2" t="s">
        <v>271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45093</v>
      </c>
      <c r="B46" s="6" t="n">
        <v>-42.4</v>
      </c>
      <c r="C46" s="6" t="n">
        <v>-42.4</v>
      </c>
      <c r="D46" s="2" t="s">
        <v>272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45114</v>
      </c>
      <c r="B47" s="6" t="n">
        <v>-68</v>
      </c>
      <c r="C47" s="6" t="n">
        <v>-68</v>
      </c>
      <c r="D47" s="2" t="s">
        <v>273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45118</v>
      </c>
      <c r="B48" s="6" t="n">
        <v>-35</v>
      </c>
      <c r="C48" s="6" t="n">
        <v>-35</v>
      </c>
      <c r="D48" s="2" t="s">
        <v>274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45118</v>
      </c>
      <c r="B49" s="6" t="n">
        <v>-30.94</v>
      </c>
      <c r="C49" s="6" t="n">
        <v>-30.94</v>
      </c>
      <c r="D49" s="2" t="s">
        <v>275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45126</v>
      </c>
      <c r="B50" s="6" t="n">
        <v>-71</v>
      </c>
      <c r="C50" s="6" t="n">
        <v>-71</v>
      </c>
      <c r="D50" s="2" t="s">
        <v>276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45127</v>
      </c>
      <c r="B51" s="6" t="n">
        <v>-70</v>
      </c>
      <c r="C51" s="6" t="n">
        <v>-70</v>
      </c>
      <c r="D51" s="2" t="s">
        <v>277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45191</v>
      </c>
      <c r="B52" s="6" t="n">
        <v>-56</v>
      </c>
      <c r="C52" s="6" t="n">
        <v>-56</v>
      </c>
      <c r="D52" s="2" t="s">
        <v>278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45217</v>
      </c>
      <c r="B53" s="6" t="n">
        <v>-130.8</v>
      </c>
      <c r="C53" s="6" t="n">
        <v>-130.8</v>
      </c>
      <c r="D53" s="2" t="s">
        <v>279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45263</v>
      </c>
      <c r="B54" s="6" t="n">
        <v>-35</v>
      </c>
      <c r="C54" s="6" t="n">
        <v>-35</v>
      </c>
      <c r="D54" s="2" t="s">
        <v>280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45265</v>
      </c>
      <c r="B55" s="6" t="n">
        <v>14898.95</v>
      </c>
      <c r="C55" s="6" t="n">
        <v>14898.95</v>
      </c>
      <c r="D55" s="2" t="s">
        <v>257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45267</v>
      </c>
      <c r="B56" s="6" t="n">
        <v>35</v>
      </c>
      <c r="C56" s="6" t="n">
        <v>35</v>
      </c>
      <c r="D56" s="2" t="s">
        <v>257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45269</v>
      </c>
      <c r="B57" s="6" t="n">
        <v>-66</v>
      </c>
      <c r="C57" s="6" t="n">
        <v>-66</v>
      </c>
      <c r="D57" s="2" t="s">
        <v>281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45271</v>
      </c>
      <c r="B58" s="6" t="n">
        <v>-26.92</v>
      </c>
      <c r="C58" s="6" t="n">
        <v>-26.92</v>
      </c>
      <c r="D58" s="2" t="s">
        <v>271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45271</v>
      </c>
      <c r="B59" s="6" t="n">
        <v>2230.92</v>
      </c>
      <c r="C59" s="6" t="n">
        <v>2230.92</v>
      </c>
      <c r="D59" s="2" t="s">
        <v>257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45272</v>
      </c>
      <c r="B60" s="6" t="n">
        <v>51500</v>
      </c>
      <c r="C60" s="6" t="n">
        <v>51500</v>
      </c>
      <c r="D60" s="2" t="s">
        <v>257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45273</v>
      </c>
      <c r="B61" s="6" t="n">
        <v>48580</v>
      </c>
      <c r="C61" s="6" t="n">
        <v>48580</v>
      </c>
      <c r="D61" s="2" t="s">
        <v>257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45274</v>
      </c>
      <c r="B62" s="6" t="n">
        <v>78000</v>
      </c>
      <c r="C62" s="6" t="n">
        <v>78000</v>
      </c>
      <c r="D62" s="2" t="s">
        <v>257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45275</v>
      </c>
      <c r="B63" s="6" t="n">
        <v>63266.1</v>
      </c>
      <c r="C63" s="6" t="n">
        <v>63266.1</v>
      </c>
      <c r="D63" s="2" t="s">
        <v>257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45277</v>
      </c>
      <c r="B64" s="6" t="n">
        <v>-389</v>
      </c>
      <c r="C64" s="6" t="n">
        <v>-389</v>
      </c>
      <c r="D64" s="2" t="s">
        <v>282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45279</v>
      </c>
      <c r="B65" s="6" t="n">
        <v>239</v>
      </c>
      <c r="C65" s="6" t="n">
        <v>239</v>
      </c>
      <c r="D65" s="2" t="s">
        <v>257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45280</v>
      </c>
      <c r="B66" s="6" t="n">
        <v>3274</v>
      </c>
      <c r="C66" s="6" t="n">
        <v>3274</v>
      </c>
      <c r="D66" s="2" t="s">
        <v>257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45286</v>
      </c>
      <c r="B67" s="6" t="n">
        <v>1574.82</v>
      </c>
      <c r="C67" s="6" t="n">
        <v>1574.82</v>
      </c>
      <c r="D67" s="2" t="s">
        <v>257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45287</v>
      </c>
      <c r="B68" s="6" t="n">
        <v>17707.2</v>
      </c>
      <c r="C68" s="6" t="n">
        <v>17707.2</v>
      </c>
      <c r="D68" s="2" t="s">
        <v>257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45288</v>
      </c>
      <c r="B69" s="6" t="n">
        <v>118694</v>
      </c>
      <c r="C69" s="6" t="n">
        <v>118694</v>
      </c>
      <c r="D69" s="2" t="s">
        <v>257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45290</v>
      </c>
      <c r="B70" s="6" t="n">
        <v>-29.54</v>
      </c>
      <c r="C70" s="6" t="n">
        <v>-29.54</v>
      </c>
      <c r="D70" s="2" t="s">
        <v>283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45297</v>
      </c>
      <c r="B71" s="6" t="n">
        <v>-10.26</v>
      </c>
      <c r="C71" s="6" t="n">
        <v>-10.26</v>
      </c>
      <c r="D71" s="2" t="s">
        <v>284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45300</v>
      </c>
      <c r="B72" s="6" t="n">
        <v>-77.76</v>
      </c>
      <c r="C72" s="6" t="n">
        <v>-77.76</v>
      </c>
      <c r="D72" s="2" t="s">
        <v>285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45302</v>
      </c>
      <c r="B73" s="6" t="n">
        <v>-80.31</v>
      </c>
      <c r="C73" s="6" t="n">
        <v>-80.31</v>
      </c>
      <c r="D73" s="2" t="s">
        <v>286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45305</v>
      </c>
      <c r="B74" s="6" t="n">
        <v>-35.08</v>
      </c>
      <c r="C74" s="6" t="n">
        <v>-35.08</v>
      </c>
      <c r="D74" s="2" t="s">
        <v>287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45316</v>
      </c>
      <c r="B75" s="6" t="n">
        <v>-77.76</v>
      </c>
      <c r="C75" s="6" t="n">
        <v>-77.76</v>
      </c>
      <c r="D75" s="2" t="s">
        <v>288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45320</v>
      </c>
      <c r="B76" s="6" t="n">
        <v>-29.54</v>
      </c>
      <c r="C76" s="6" t="n">
        <v>-29.54</v>
      </c>
      <c r="D76" s="2" t="s">
        <v>283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45321</v>
      </c>
      <c r="B77" s="6" t="n">
        <v>80.31</v>
      </c>
      <c r="C77" s="6" t="n">
        <v>80.31</v>
      </c>
      <c r="D77" s="2" t="s">
        <v>257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45323</v>
      </c>
      <c r="B78" s="6" t="n">
        <v>-52000</v>
      </c>
      <c r="C78" s="6" t="n">
        <v>0</v>
      </c>
      <c r="D78" s="2" t="s">
        <v>289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45327</v>
      </c>
      <c r="B79" s="6" t="n">
        <v>-10.26</v>
      </c>
      <c r="C79" s="6" t="n">
        <v>-10.26</v>
      </c>
      <c r="D79" s="2" t="s">
        <v>284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45327</v>
      </c>
      <c r="B80" s="6" t="n">
        <v>10.26</v>
      </c>
      <c r="C80" s="6" t="n">
        <v>10.26</v>
      </c>
      <c r="D80" s="2" t="s">
        <v>257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45332</v>
      </c>
      <c r="B81" s="6" t="n">
        <v>-18.36</v>
      </c>
      <c r="C81" s="6" t="n">
        <v>-18.36</v>
      </c>
      <c r="D81" s="2" t="s">
        <v>290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45335</v>
      </c>
      <c r="B82" s="6" t="n">
        <v>-35.08</v>
      </c>
      <c r="C82" s="6" t="n">
        <v>-35.08</v>
      </c>
      <c r="D82" s="2" t="s">
        <v>287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45336</v>
      </c>
      <c r="B83" s="6" t="n">
        <v>-56.75</v>
      </c>
      <c r="C83" s="6" t="n">
        <v>-56.75</v>
      </c>
      <c r="D83" s="2" t="s">
        <v>291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45337</v>
      </c>
      <c r="B84" s="6" t="n">
        <v>-173.45</v>
      </c>
      <c r="C84" s="6" t="n">
        <v>-173.45</v>
      </c>
      <c r="D84" s="2" t="s">
        <v>292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45338</v>
      </c>
      <c r="B85" s="6" t="n">
        <v>-115.64</v>
      </c>
      <c r="C85" s="6" t="n">
        <v>-115.64</v>
      </c>
      <c r="D85" s="2" t="s">
        <v>293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45342</v>
      </c>
      <c r="B86" s="6" t="n">
        <v>-82.74</v>
      </c>
      <c r="C86" s="6" t="n">
        <v>-82.74</v>
      </c>
      <c r="D86" s="2" t="s">
        <v>294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45343</v>
      </c>
      <c r="B87" s="6" t="n">
        <v>-118.64</v>
      </c>
      <c r="C87" s="6" t="n">
        <v>-118.64</v>
      </c>
      <c r="D87" s="2" t="s">
        <v>295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45348</v>
      </c>
      <c r="B88" s="6" t="n">
        <v>-79.6</v>
      </c>
      <c r="C88" s="6" t="n">
        <v>-79.6</v>
      </c>
      <c r="D88" s="2" t="s">
        <v>296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45350</v>
      </c>
      <c r="B89" s="6" t="n">
        <v>-29.54</v>
      </c>
      <c r="C89" s="6" t="n">
        <v>-29.54</v>
      </c>
      <c r="D89" s="2" t="s">
        <v>283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45352</v>
      </c>
      <c r="B90" s="6" t="n">
        <v>-64.43</v>
      </c>
      <c r="C90" s="6" t="n">
        <v>-64.43</v>
      </c>
      <c r="D90" s="2" t="s">
        <v>297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45352</v>
      </c>
      <c r="B91" s="6" t="n">
        <v>-38.52</v>
      </c>
      <c r="C91" s="6" t="n">
        <v>-38.52</v>
      </c>
      <c r="D91" s="2" t="s">
        <v>298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45357</v>
      </c>
      <c r="B92" s="6" t="n">
        <v>-200.6</v>
      </c>
      <c r="C92" s="6" t="n">
        <v>-200.6</v>
      </c>
      <c r="D92" s="2" t="s">
        <v>299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45357</v>
      </c>
      <c r="B93" s="6" t="n">
        <v>-10.26</v>
      </c>
      <c r="C93" s="6" t="n">
        <v>-10.26</v>
      </c>
      <c r="D93" s="2" t="s">
        <v>284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45362</v>
      </c>
      <c r="B94" s="6" t="n">
        <v>-18.36</v>
      </c>
      <c r="C94" s="6" t="n">
        <v>-18.36</v>
      </c>
      <c r="D94" s="2" t="s">
        <v>290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45363</v>
      </c>
      <c r="B95" s="6" t="n">
        <v>-15.09</v>
      </c>
      <c r="C95" s="6" t="n">
        <v>-15.09</v>
      </c>
      <c r="D95" s="2" t="s">
        <v>300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45364</v>
      </c>
      <c r="B96" s="6" t="n">
        <v>-103.08</v>
      </c>
      <c r="C96" s="6" t="n">
        <v>-103.08</v>
      </c>
      <c r="D96" s="2" t="s">
        <v>301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45364</v>
      </c>
      <c r="B97" s="6" t="n">
        <v>-24.25</v>
      </c>
      <c r="C97" s="6" t="n">
        <v>-24.25</v>
      </c>
      <c r="D97" s="2" t="s">
        <v>302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45365</v>
      </c>
      <c r="B98" s="6" t="n">
        <v>-35.08</v>
      </c>
      <c r="C98" s="6" t="n">
        <v>-35.08</v>
      </c>
      <c r="D98" s="2" t="s">
        <v>287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45365</v>
      </c>
      <c r="B99" s="6" t="n">
        <v>15.09</v>
      </c>
      <c r="C99" s="6" t="n">
        <v>15.09</v>
      </c>
      <c r="D99" s="2" t="s">
        <v>303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45365</v>
      </c>
      <c r="B100" s="6" t="n">
        <v>10</v>
      </c>
      <c r="C100" s="6" t="n">
        <v>10</v>
      </c>
      <c r="D100" s="2" t="s">
        <v>257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45366</v>
      </c>
      <c r="B101" s="6" t="n">
        <v>-56.75</v>
      </c>
      <c r="C101" s="6" t="n">
        <v>-56.75</v>
      </c>
      <c r="D101" s="2" t="s">
        <v>291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45371</v>
      </c>
      <c r="B102" s="6" t="n">
        <v>-436.15</v>
      </c>
      <c r="C102" s="6" t="n">
        <v>-436.15</v>
      </c>
      <c r="D102" s="2" t="s">
        <v>304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45371</v>
      </c>
      <c r="B103" s="6" t="n">
        <v>-504.6</v>
      </c>
      <c r="C103" s="6" t="n">
        <v>-504.6</v>
      </c>
      <c r="D103" s="2" t="s">
        <v>305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45377</v>
      </c>
      <c r="B104" s="6" t="n">
        <v>-55.32</v>
      </c>
      <c r="C104" s="6" t="n">
        <v>-55.32</v>
      </c>
      <c r="D104" s="2" t="s">
        <v>306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45377</v>
      </c>
      <c r="B105" s="6" t="n">
        <v>-191.45</v>
      </c>
      <c r="C105" s="6" t="n">
        <v>-191.45</v>
      </c>
      <c r="D105" s="2" t="s">
        <v>307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45378</v>
      </c>
      <c r="B106" s="6" t="n">
        <v>-412.7</v>
      </c>
      <c r="C106" s="6" t="n">
        <v>-412.7</v>
      </c>
      <c r="D106" s="2" t="s">
        <v>308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45378</v>
      </c>
      <c r="B107" s="6" t="n">
        <v>-94.7</v>
      </c>
      <c r="C107" s="6" t="n">
        <v>-94.7</v>
      </c>
      <c r="D107" s="2" t="s">
        <v>309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45380</v>
      </c>
      <c r="B108" s="6" t="n">
        <v>-29.54</v>
      </c>
      <c r="C108" s="6" t="n">
        <v>-29.54</v>
      </c>
      <c r="D108" s="2" t="s">
        <v>283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45383</v>
      </c>
      <c r="B109" s="6" t="n">
        <v>-41.53</v>
      </c>
      <c r="C109" s="6" t="n">
        <v>-41.53</v>
      </c>
      <c r="D109" s="2" t="s">
        <v>310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45385</v>
      </c>
      <c r="B110" s="6" t="n">
        <v>-333.9</v>
      </c>
      <c r="C110" s="6" t="n">
        <v>-333.9</v>
      </c>
      <c r="D110" s="2" t="s">
        <v>311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45386</v>
      </c>
      <c r="B111" s="6" t="n">
        <v>-102.68</v>
      </c>
      <c r="C111" s="6" t="n">
        <v>-102.68</v>
      </c>
      <c r="D111" s="2" t="s">
        <v>312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45387</v>
      </c>
      <c r="B112" s="6" t="n">
        <v>-10.26</v>
      </c>
      <c r="C112" s="6" t="n">
        <v>-10.26</v>
      </c>
      <c r="D112" s="2" t="s">
        <v>284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45391</v>
      </c>
      <c r="B113" s="6" t="n">
        <v>-77.76</v>
      </c>
      <c r="C113" s="6" t="n">
        <v>-77.76</v>
      </c>
      <c r="D113" s="2" t="s">
        <v>285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45391</v>
      </c>
      <c r="B114" s="6" t="n">
        <v>129</v>
      </c>
      <c r="C114" s="6" t="n">
        <v>129</v>
      </c>
      <c r="D114" s="2" t="s">
        <v>257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45392</v>
      </c>
      <c r="B115" s="6" t="n">
        <v>-18.36</v>
      </c>
      <c r="C115" s="6" t="n">
        <v>-18.36</v>
      </c>
      <c r="D115" s="2" t="s">
        <v>290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45395</v>
      </c>
      <c r="B116" s="6" t="n">
        <v>-35.08</v>
      </c>
      <c r="C116" s="6" t="n">
        <v>-35.08</v>
      </c>
      <c r="D116" s="2" t="s">
        <v>287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45396</v>
      </c>
      <c r="B117" s="6" t="n">
        <v>-114.5</v>
      </c>
      <c r="C117" s="6" t="n">
        <v>-114.5</v>
      </c>
      <c r="D117" s="2" t="s">
        <v>313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45400</v>
      </c>
      <c r="B118" s="6" t="n">
        <v>309.43</v>
      </c>
      <c r="C118" s="6" t="n">
        <v>309.43</v>
      </c>
      <c r="D118" s="2" t="s">
        <v>257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45407</v>
      </c>
      <c r="B119" s="6" t="n">
        <v>-102.81</v>
      </c>
      <c r="C119" s="6" t="n">
        <v>-102.81</v>
      </c>
      <c r="D119" s="2" t="s">
        <v>314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45407</v>
      </c>
      <c r="B120" s="6" t="n">
        <v>194.57</v>
      </c>
      <c r="C120" s="6" t="n">
        <v>194.57</v>
      </c>
      <c r="D120" s="2" t="s">
        <v>257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45407</v>
      </c>
      <c r="B121" s="6" t="n">
        <v>-77.76</v>
      </c>
      <c r="C121" s="6" t="n">
        <v>-77.76</v>
      </c>
      <c r="D121" s="2" t="s">
        <v>288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45408</v>
      </c>
      <c r="B122" s="6" t="n">
        <v>81.14</v>
      </c>
      <c r="C122" s="6" t="n">
        <v>81.14</v>
      </c>
      <c r="D122" s="2" t="s">
        <v>257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45410</v>
      </c>
      <c r="B123" s="6" t="n">
        <v>-29.54</v>
      </c>
      <c r="C123" s="6" t="n">
        <v>-29.54</v>
      </c>
      <c r="D123" s="2" t="s">
        <v>283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45413</v>
      </c>
      <c r="B124" s="6" t="n">
        <v>-40.06</v>
      </c>
      <c r="C124" s="6" t="n">
        <v>-40.06</v>
      </c>
      <c r="D124" s="2" t="s">
        <v>315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45414</v>
      </c>
      <c r="B125" s="6" t="n">
        <v>-87</v>
      </c>
      <c r="C125" s="6" t="n">
        <v>-87</v>
      </c>
      <c r="D125" s="2" t="s">
        <v>316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45414</v>
      </c>
      <c r="B126" s="6" t="n">
        <v>69.6</v>
      </c>
      <c r="C126" s="6" t="n">
        <v>69.6</v>
      </c>
      <c r="D126" s="2" t="s">
        <v>257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45417</v>
      </c>
      <c r="B127" s="6" t="n">
        <v>-10.26</v>
      </c>
      <c r="C127" s="6" t="n">
        <v>-10.26</v>
      </c>
      <c r="D127" s="2" t="s">
        <v>284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45419</v>
      </c>
      <c r="B128" s="6" t="n">
        <v>-433</v>
      </c>
      <c r="C128" s="6" t="n">
        <v>-433</v>
      </c>
      <c r="D128" s="2" t="s">
        <v>317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45422</v>
      </c>
      <c r="B129" s="6" t="n">
        <v>-18.36</v>
      </c>
      <c r="C129" s="6" t="n">
        <v>-18.36</v>
      </c>
      <c r="D129" s="2" t="s">
        <v>290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45425</v>
      </c>
      <c r="B130" s="6" t="n">
        <v>-35.08</v>
      </c>
      <c r="C130" s="6" t="n">
        <v>-35.08</v>
      </c>
      <c r="D130" s="2" t="s">
        <v>287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45426</v>
      </c>
      <c r="B131" s="6" t="n">
        <v>-114.5</v>
      </c>
      <c r="C131" s="6" t="n">
        <v>-114.5</v>
      </c>
      <c r="D131" s="2" t="s">
        <v>313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45427</v>
      </c>
      <c r="B132" s="6" t="n">
        <v>-310.5</v>
      </c>
      <c r="C132" s="6" t="n">
        <v>-310.5</v>
      </c>
      <c r="D132" s="2" t="s">
        <v>318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45428</v>
      </c>
      <c r="B133" s="6" t="n">
        <v>-173.45</v>
      </c>
      <c r="C133" s="6" t="n">
        <v>-173.45</v>
      </c>
      <c r="D133" s="2" t="s">
        <v>292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45433</v>
      </c>
      <c r="B134" s="6" t="n">
        <v>-82.74</v>
      </c>
      <c r="C134" s="6" t="n">
        <v>-82.74</v>
      </c>
      <c r="D134" s="2" t="s">
        <v>294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45433</v>
      </c>
      <c r="B135" s="6" t="n">
        <v>-110.28</v>
      </c>
      <c r="C135" s="6" t="n">
        <v>-110.28</v>
      </c>
      <c r="D135" s="2" t="s">
        <v>319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45434</v>
      </c>
      <c r="B136" s="6" t="n">
        <v>-118.64</v>
      </c>
      <c r="C136" s="6" t="n">
        <v>-118.64</v>
      </c>
      <c r="D136" s="2" t="s">
        <v>295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45434</v>
      </c>
      <c r="B137" s="6" t="n">
        <v>-279.6</v>
      </c>
      <c r="C137" s="6" t="n">
        <v>-279.6</v>
      </c>
      <c r="D137" s="2" t="s">
        <v>320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45439</v>
      </c>
      <c r="B138" s="6" t="n">
        <v>-79.6</v>
      </c>
      <c r="C138" s="6" t="n">
        <v>-79.6</v>
      </c>
      <c r="D138" s="2" t="s">
        <v>296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45440</v>
      </c>
      <c r="B139" s="6" t="n">
        <v>-29.54</v>
      </c>
      <c r="C139" s="6" t="n">
        <v>-29.54</v>
      </c>
      <c r="D139" s="2" t="s">
        <v>283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45441</v>
      </c>
      <c r="B140" s="6" t="n">
        <v>910.4</v>
      </c>
      <c r="C140" s="6" t="n">
        <v>910.4</v>
      </c>
      <c r="D140" s="2" t="s">
        <v>257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45443</v>
      </c>
      <c r="B141" s="6" t="n">
        <v>-64.43</v>
      </c>
      <c r="C141" s="6" t="n">
        <v>-64.43</v>
      </c>
      <c r="D141" s="2" t="s">
        <v>297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45443</v>
      </c>
      <c r="B142" s="6" t="n">
        <v>-69.8</v>
      </c>
      <c r="C142" s="6" t="n">
        <v>-69.8</v>
      </c>
      <c r="D142" s="2" t="s">
        <v>321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45444</v>
      </c>
      <c r="B143" s="6" t="n">
        <v>-41.53</v>
      </c>
      <c r="C143" s="6" t="n">
        <v>-41.53</v>
      </c>
      <c r="D143" s="2" t="s">
        <v>310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45446</v>
      </c>
      <c r="B144" s="6" t="n">
        <v>-84.8</v>
      </c>
      <c r="C144" s="6" t="n">
        <v>-84.8</v>
      </c>
      <c r="D144" s="2" t="s">
        <v>322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45447</v>
      </c>
      <c r="B145" s="6" t="n">
        <v>-10.26</v>
      </c>
      <c r="C145" s="6" t="n">
        <v>-10.26</v>
      </c>
      <c r="D145" s="2" t="s">
        <v>284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45448</v>
      </c>
      <c r="B146" s="6" t="n">
        <v>-831.8</v>
      </c>
      <c r="C146" s="6" t="n">
        <v>-831.8</v>
      </c>
      <c r="D146" s="2" t="s">
        <v>323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45452</v>
      </c>
      <c r="B147" s="6" t="n">
        <v>-18.36</v>
      </c>
      <c r="C147" s="6" t="n">
        <v>-18.36</v>
      </c>
      <c r="D147" s="2" t="s">
        <v>290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45453</v>
      </c>
      <c r="B148" s="6" t="n">
        <v>-23.52</v>
      </c>
      <c r="C148" s="6" t="n">
        <v>-23.52</v>
      </c>
      <c r="D148" s="2" t="s">
        <v>324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45453</v>
      </c>
      <c r="B149" s="6" t="n">
        <v>-26.92</v>
      </c>
      <c r="C149" s="6" t="n">
        <v>-26.92</v>
      </c>
      <c r="D149" s="2" t="s">
        <v>271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45454</v>
      </c>
      <c r="B150" s="6" t="n">
        <v>-15.39</v>
      </c>
      <c r="C150" s="6" t="n">
        <v>-15.39</v>
      </c>
      <c r="D150" s="2" t="s">
        <v>325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45455</v>
      </c>
      <c r="B151" s="6" t="n">
        <v>-25.3</v>
      </c>
      <c r="C151" s="6" t="n">
        <v>-25.3</v>
      </c>
      <c r="D151" s="2" t="s">
        <v>326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45455</v>
      </c>
      <c r="B152" s="6" t="n">
        <v>-35.08</v>
      </c>
      <c r="C152" s="6" t="n">
        <v>-35.08</v>
      </c>
      <c r="D152" s="2" t="s">
        <v>287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45456</v>
      </c>
      <c r="B153" s="6" t="n">
        <v>-114.5</v>
      </c>
      <c r="C153" s="6" t="n">
        <v>-114.5</v>
      </c>
      <c r="D153" s="2" t="s">
        <v>313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45456</v>
      </c>
      <c r="B154" s="6" t="n">
        <v>15.39</v>
      </c>
      <c r="C154" s="6" t="n">
        <v>15.39</v>
      </c>
      <c r="D154" s="2" t="s">
        <v>327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45457</v>
      </c>
      <c r="B155" s="6" t="n">
        <v>-150.5</v>
      </c>
      <c r="C155" s="6" t="n">
        <v>-150.5</v>
      </c>
      <c r="D155" s="2" t="s">
        <v>328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45457</v>
      </c>
      <c r="B156" s="6" t="n">
        <v>-108.81</v>
      </c>
      <c r="C156" s="6" t="n">
        <v>-108.81</v>
      </c>
      <c r="D156" s="2" t="s">
        <v>329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45458</v>
      </c>
      <c r="B157" s="6" t="n">
        <v>-35</v>
      </c>
      <c r="C157" s="6" t="n">
        <v>-35</v>
      </c>
      <c r="D157" s="2" t="s">
        <v>280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45461</v>
      </c>
      <c r="B158" s="6" t="n">
        <v>-166.51</v>
      </c>
      <c r="C158" s="6" t="n">
        <v>-166.51</v>
      </c>
      <c r="D158" s="2" t="s">
        <v>330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45461</v>
      </c>
      <c r="B159" s="6" t="n">
        <v>-33.3</v>
      </c>
      <c r="C159" s="6" t="n">
        <v>-33.3</v>
      </c>
      <c r="D159" s="2" t="s">
        <v>331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45462</v>
      </c>
      <c r="B160" s="6" t="n">
        <v>751.82</v>
      </c>
      <c r="C160" s="6" t="n">
        <v>751.82</v>
      </c>
      <c r="D160" s="2" t="s">
        <v>257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45463</v>
      </c>
      <c r="B161" s="6" t="n">
        <v>35</v>
      </c>
      <c r="C161" s="6" t="n">
        <v>35</v>
      </c>
      <c r="D161" s="2" t="s">
        <v>257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45464</v>
      </c>
      <c r="B162" s="6" t="n">
        <v>11390</v>
      </c>
      <c r="C162" s="6" t="n">
        <v>11390</v>
      </c>
      <c r="D162" s="2" t="s">
        <v>257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45467</v>
      </c>
      <c r="B163" s="6" t="n">
        <v>11920</v>
      </c>
      <c r="C163" s="6" t="n">
        <v>11920</v>
      </c>
      <c r="D163" s="2" t="s">
        <v>257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45468</v>
      </c>
      <c r="B164" s="6" t="n">
        <v>-55.32</v>
      </c>
      <c r="C164" s="6" t="n">
        <v>-55.32</v>
      </c>
      <c r="D164" s="2" t="s">
        <v>306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45470</v>
      </c>
      <c r="B165" s="6" t="n">
        <v>-29.54</v>
      </c>
      <c r="C165" s="6" t="n">
        <v>-29.54</v>
      </c>
      <c r="D165" s="2" t="s">
        <v>283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45473</v>
      </c>
      <c r="B166" s="6" t="n">
        <v>-404.11</v>
      </c>
      <c r="C166" s="6" t="n">
        <v>-404.11</v>
      </c>
      <c r="D166" s="2" t="s">
        <v>332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45473</v>
      </c>
      <c r="B167" s="6" t="n">
        <v>12483.2</v>
      </c>
      <c r="C167" s="6" t="n">
        <v>12483.2</v>
      </c>
      <c r="D167" s="2" t="s">
        <v>257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45474</v>
      </c>
      <c r="B168" s="6" t="n">
        <v>-40.06</v>
      </c>
      <c r="C168" s="6" t="n">
        <v>-40.06</v>
      </c>
      <c r="D168" s="2" t="s">
        <v>315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45474</v>
      </c>
      <c r="B169" s="6" t="n">
        <v>404.11</v>
      </c>
      <c r="C169" s="6" t="n">
        <v>404.11</v>
      </c>
      <c r="D169" s="2" t="s">
        <v>333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45477</v>
      </c>
      <c r="B170" s="6" t="n">
        <v>-10.26</v>
      </c>
      <c r="C170" s="6" t="n">
        <v>-10.26</v>
      </c>
      <c r="D170" s="2" t="s">
        <v>284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45477</v>
      </c>
      <c r="B171" s="6" t="n">
        <v>-102.68</v>
      </c>
      <c r="C171" s="6" t="n">
        <v>-102.68</v>
      </c>
      <c r="D171" s="2" t="s">
        <v>312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45481</v>
      </c>
      <c r="B172" s="6" t="n">
        <v>-35</v>
      </c>
      <c r="C172" s="6" t="n">
        <v>-35</v>
      </c>
      <c r="D172" s="2" t="s">
        <v>274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45481</v>
      </c>
      <c r="B173" s="6" t="n">
        <v>-35</v>
      </c>
      <c r="C173" s="6" t="n">
        <v>-35</v>
      </c>
      <c r="D173" s="2" t="s">
        <v>274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45482</v>
      </c>
      <c r="B174" s="6" t="n">
        <v>-18.36</v>
      </c>
      <c r="C174" s="6" t="n">
        <v>-18.36</v>
      </c>
      <c r="D174" s="2" t="s">
        <v>290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45482</v>
      </c>
      <c r="B175" s="6" t="n">
        <v>-77.76</v>
      </c>
      <c r="C175" s="6" t="n">
        <v>-77.76</v>
      </c>
      <c r="D175" s="2" t="s">
        <v>285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45482</v>
      </c>
      <c r="B176" s="6" t="n">
        <v>-76.03</v>
      </c>
      <c r="C176" s="6" t="n">
        <v>-76.03</v>
      </c>
      <c r="D176" s="2" t="s">
        <v>334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45482</v>
      </c>
      <c r="B177" s="6" t="n">
        <v>-20.67</v>
      </c>
      <c r="C177" s="6" t="n">
        <v>-20.67</v>
      </c>
      <c r="D177" s="2" t="s">
        <v>335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45483</v>
      </c>
      <c r="B178" s="6" t="n">
        <v>491.97</v>
      </c>
      <c r="C178" s="6" t="n">
        <v>491.97</v>
      </c>
      <c r="D178" s="2" t="s">
        <v>257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45484</v>
      </c>
      <c r="B179" s="6" t="n">
        <v>-34.6</v>
      </c>
      <c r="C179" s="6" t="n">
        <v>-34.6</v>
      </c>
      <c r="D179" s="2" t="s">
        <v>336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45484</v>
      </c>
      <c r="B180" s="6" t="n">
        <v>-290</v>
      </c>
      <c r="C180" s="6" t="n">
        <v>-290</v>
      </c>
      <c r="D180" s="2" t="s">
        <v>337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45485</v>
      </c>
      <c r="B181" s="6" t="n">
        <v>-35.08</v>
      </c>
      <c r="C181" s="6" t="n">
        <v>-35.08</v>
      </c>
      <c r="D181" s="2" t="s">
        <v>287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45486</v>
      </c>
      <c r="B182" s="6" t="n">
        <v>-114.5</v>
      </c>
      <c r="C182" s="6" t="n">
        <v>-114.5</v>
      </c>
      <c r="D182" s="2" t="s">
        <v>313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45488</v>
      </c>
      <c r="B183" s="6" t="n">
        <v>-358.13</v>
      </c>
      <c r="C183" s="6" t="n">
        <v>-358.13</v>
      </c>
      <c r="D183" s="2" t="s">
        <v>338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45488</v>
      </c>
      <c r="B184" s="6" t="n">
        <v>39279.73</v>
      </c>
      <c r="C184" s="6" t="n">
        <v>39279.73</v>
      </c>
      <c r="D184" s="2" t="s">
        <v>257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45489</v>
      </c>
      <c r="B185" s="6" t="n">
        <v>114.5</v>
      </c>
      <c r="C185" s="6" t="n">
        <v>114.5</v>
      </c>
      <c r="D185" s="2" t="s">
        <v>257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45490</v>
      </c>
      <c r="B186" s="6" t="n">
        <v>2700</v>
      </c>
      <c r="C186" s="6" t="n">
        <v>2700</v>
      </c>
      <c r="D186" s="2" t="s">
        <v>257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45490</v>
      </c>
      <c r="B187" s="6" t="n">
        <v>-90</v>
      </c>
      <c r="C187" s="6" t="n">
        <v>-90</v>
      </c>
      <c r="D187" s="2" t="s">
        <v>339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45491</v>
      </c>
      <c r="B188" s="6" t="n">
        <v>6328.13</v>
      </c>
      <c r="C188" s="6" t="n">
        <v>6328.13</v>
      </c>
      <c r="D188" s="2" t="s">
        <v>257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45491</v>
      </c>
      <c r="B189" s="6" t="n">
        <v>-1069</v>
      </c>
      <c r="C189" s="6" t="n">
        <v>-1069</v>
      </c>
      <c r="D189" s="2" t="s">
        <v>340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45491</v>
      </c>
      <c r="B190" s="6" t="n">
        <v>-308.4</v>
      </c>
      <c r="C190" s="6" t="n">
        <v>-308.4</v>
      </c>
      <c r="D190" s="2" t="s">
        <v>341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45491</v>
      </c>
      <c r="B191" s="6" t="n">
        <v>-148</v>
      </c>
      <c r="C191" s="6" t="n">
        <v>-148</v>
      </c>
      <c r="D191" s="2" t="s">
        <v>342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45492</v>
      </c>
      <c r="B192" s="6" t="n">
        <v>20.67</v>
      </c>
      <c r="C192" s="6" t="n">
        <v>20.67</v>
      </c>
      <c r="D192" s="2" t="s">
        <v>257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45494</v>
      </c>
      <c r="B193" s="6" t="n">
        <v>161.39</v>
      </c>
      <c r="C193" s="6" t="n">
        <v>161.39</v>
      </c>
      <c r="D193" s="2" t="s">
        <v>257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45495</v>
      </c>
      <c r="B194" s="6" t="n">
        <v>7200</v>
      </c>
      <c r="C194" s="6" t="n">
        <v>7200</v>
      </c>
      <c r="D194" s="2" t="s">
        <v>257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45496</v>
      </c>
      <c r="B195" s="6" t="n">
        <v>25440</v>
      </c>
      <c r="C195" s="6" t="n">
        <v>25440</v>
      </c>
      <c r="D195" s="2" t="s">
        <v>257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45497</v>
      </c>
      <c r="B196" s="6" t="n">
        <v>10</v>
      </c>
      <c r="C196" s="6" t="n">
        <v>10</v>
      </c>
      <c r="D196" s="2" t="s">
        <v>257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45498</v>
      </c>
      <c r="B197" s="6" t="n">
        <v>-102.81</v>
      </c>
      <c r="C197" s="6" t="n">
        <v>-102.81</v>
      </c>
      <c r="D197" s="2" t="s">
        <v>314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45498</v>
      </c>
      <c r="B198" s="6" t="n">
        <v>-77.76</v>
      </c>
      <c r="C198" s="6" t="n">
        <v>-77.76</v>
      </c>
      <c r="D198" s="2" t="s">
        <v>288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45500</v>
      </c>
      <c r="B199" s="6" t="n">
        <v>-77.44</v>
      </c>
      <c r="C199" s="6" t="n">
        <v>-77.44</v>
      </c>
      <c r="D199" s="2" t="s">
        <v>343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45503</v>
      </c>
      <c r="B200" s="6" t="n">
        <v>4150</v>
      </c>
      <c r="C200" s="6" t="n">
        <v>4150</v>
      </c>
      <c r="D200" s="2" t="s">
        <v>257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45504</v>
      </c>
      <c r="B201" s="6" t="n">
        <v>-353.5</v>
      </c>
      <c r="C201" s="6" t="n">
        <v>-353.5</v>
      </c>
      <c r="D201" s="2" t="s">
        <v>344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45505</v>
      </c>
      <c r="B202" s="6" t="n">
        <v>30</v>
      </c>
      <c r="C202" s="6" t="n">
        <v>30</v>
      </c>
      <c r="D202" s="2" t="s">
        <v>257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45505</v>
      </c>
      <c r="B203" s="6" t="n">
        <v>-412.5</v>
      </c>
      <c r="C203" s="6" t="n">
        <v>-412.5</v>
      </c>
      <c r="D203" s="2" t="s">
        <v>345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45505</v>
      </c>
      <c r="B204" s="6" t="n">
        <v>353.5</v>
      </c>
      <c r="C204" s="6" t="n">
        <v>353.5</v>
      </c>
      <c r="D204" s="2" t="s">
        <v>346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45505</v>
      </c>
      <c r="B205" s="6" t="n">
        <v>-38.8</v>
      </c>
      <c r="C205" s="6" t="n">
        <v>-38.8</v>
      </c>
      <c r="D205" s="2" t="s">
        <v>347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45506</v>
      </c>
      <c r="B206" s="6" t="n">
        <v>412.5</v>
      </c>
      <c r="C206" s="6" t="n">
        <v>412.5</v>
      </c>
      <c r="D206" s="2" t="s">
        <v>348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45506</v>
      </c>
      <c r="B207" s="6" t="n">
        <v>-53.4</v>
      </c>
      <c r="C207" s="6" t="n">
        <v>-53.4</v>
      </c>
      <c r="D207" s="2" t="s">
        <v>349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45506</v>
      </c>
      <c r="B208" s="6" t="n">
        <v>470</v>
      </c>
      <c r="C208" s="6" t="n">
        <v>470</v>
      </c>
      <c r="D208" s="2" t="s">
        <v>257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45507</v>
      </c>
      <c r="B209" s="6" t="n">
        <v>-39.04</v>
      </c>
      <c r="C209" s="6" t="n">
        <v>-39.04</v>
      </c>
      <c r="D209" s="2" t="s">
        <v>350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45509</v>
      </c>
      <c r="B210" s="6" t="n">
        <v>55000</v>
      </c>
      <c r="C210" s="6" t="n">
        <v>55000</v>
      </c>
      <c r="D210" s="2" t="s">
        <v>257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45512</v>
      </c>
      <c r="B211" s="6" t="n">
        <v>-18.36</v>
      </c>
      <c r="C211" s="6" t="n">
        <v>-18.36</v>
      </c>
      <c r="D211" s="2" t="s">
        <v>290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45515</v>
      </c>
      <c r="B212" s="6" t="n">
        <v>-35.08</v>
      </c>
      <c r="C212" s="6" t="n">
        <v>-35.08</v>
      </c>
      <c r="D212" s="2" t="s">
        <v>287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45516</v>
      </c>
      <c r="B213" s="6" t="n">
        <v>-114.5</v>
      </c>
      <c r="C213" s="6" t="n">
        <v>-114.5</v>
      </c>
      <c r="D213" s="2" t="s">
        <v>313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45518</v>
      </c>
      <c r="B214" s="6" t="n">
        <v>-2429</v>
      </c>
      <c r="C214" s="6" t="n">
        <v>-2429</v>
      </c>
      <c r="D214" s="2" t="s">
        <v>351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45519</v>
      </c>
      <c r="B215" s="6" t="n">
        <v>-173.45</v>
      </c>
      <c r="C215" s="6" t="n">
        <v>-173.45</v>
      </c>
      <c r="D215" s="2" t="s">
        <v>292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45520</v>
      </c>
      <c r="B216" s="6" t="n">
        <v>-115.64</v>
      </c>
      <c r="C216" s="6" t="n">
        <v>-115.64</v>
      </c>
      <c r="D216" s="2" t="s">
        <v>293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45524</v>
      </c>
      <c r="B217" s="6" t="n">
        <v>-14</v>
      </c>
      <c r="C217" s="6" t="n">
        <v>-14</v>
      </c>
      <c r="D217" s="2" t="s">
        <v>352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45525</v>
      </c>
      <c r="B218" s="6" t="n">
        <v>-148.8</v>
      </c>
      <c r="C218" s="6" t="n">
        <v>-148.8</v>
      </c>
      <c r="D218" s="2" t="s">
        <v>353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45525</v>
      </c>
      <c r="B219" s="6" t="n">
        <v>-532.04</v>
      </c>
      <c r="C219" s="6" t="n">
        <v>-532.04</v>
      </c>
      <c r="D219" s="2" t="s">
        <v>354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45526</v>
      </c>
      <c r="B220" s="6" t="n">
        <v>690</v>
      </c>
      <c r="C220" s="6" t="n">
        <v>690</v>
      </c>
      <c r="D220" s="2" t="s">
        <v>257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45527</v>
      </c>
      <c r="B221" s="6" t="n">
        <v>7009.84</v>
      </c>
      <c r="C221" s="6" t="n">
        <v>7009.84</v>
      </c>
      <c r="D221" s="2" t="s">
        <v>257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45530</v>
      </c>
      <c r="B222" s="6" t="n">
        <v>5300</v>
      </c>
      <c r="C222" s="6" t="n">
        <v>5300</v>
      </c>
      <c r="D222" s="2" t="s">
        <v>257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45530</v>
      </c>
      <c r="B223" s="6" t="n">
        <v>-77.44</v>
      </c>
      <c r="C223" s="6" t="n">
        <v>-77.44</v>
      </c>
      <c r="D223" s="2" t="s">
        <v>343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45530</v>
      </c>
      <c r="B224" s="6" t="n">
        <v>-79.6</v>
      </c>
      <c r="C224" s="6" t="n">
        <v>-79.6</v>
      </c>
      <c r="D224" s="2" t="s">
        <v>296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45532</v>
      </c>
      <c r="B225" s="6" t="n">
        <v>1670</v>
      </c>
      <c r="C225" s="6" t="n">
        <v>1670</v>
      </c>
      <c r="D225" s="2" t="s">
        <v>257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45534</v>
      </c>
      <c r="B226" s="6" t="n">
        <v>-64.43</v>
      </c>
      <c r="C226" s="6" t="n">
        <v>-64.43</v>
      </c>
      <c r="D226" s="2" t="s">
        <v>297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45535</v>
      </c>
      <c r="B227" s="6" t="n">
        <v>-386.68</v>
      </c>
      <c r="C227" s="6" t="n">
        <v>-386.68</v>
      </c>
      <c r="D227" s="2" t="s">
        <v>355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45536</v>
      </c>
      <c r="B228" s="6" t="n">
        <v>-36.42</v>
      </c>
      <c r="C228" s="6" t="n">
        <v>-36.42</v>
      </c>
      <c r="D228" s="2" t="s">
        <v>356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45536</v>
      </c>
      <c r="B229" s="6" t="n">
        <v>-450.7</v>
      </c>
      <c r="C229" s="6" t="n">
        <v>-450.7</v>
      </c>
      <c r="D229" s="2" t="s">
        <v>357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45537</v>
      </c>
      <c r="B230" s="6" t="n">
        <v>-68.82</v>
      </c>
      <c r="C230" s="6" t="n">
        <v>-68.82</v>
      </c>
      <c r="D230" s="2" t="s">
        <v>358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45537</v>
      </c>
      <c r="B231" s="6" t="n">
        <v>-50.6</v>
      </c>
      <c r="C231" s="6" t="n">
        <v>-50.6</v>
      </c>
      <c r="D231" s="2" t="s">
        <v>359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45537</v>
      </c>
      <c r="B232" s="6" t="n">
        <v>11421.19</v>
      </c>
      <c r="C232" s="6" t="n">
        <v>11421.19</v>
      </c>
      <c r="D232" s="2" t="s">
        <v>257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45537</v>
      </c>
      <c r="B233" s="6" t="n">
        <v>837.38</v>
      </c>
      <c r="C233" s="6" t="n">
        <v>837.38</v>
      </c>
      <c r="D233" s="2" t="s">
        <v>360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45539</v>
      </c>
      <c r="B234" s="6" t="n">
        <v>-200.6</v>
      </c>
      <c r="C234" s="6" t="n">
        <v>-200.6</v>
      </c>
      <c r="D234" s="2" t="s">
        <v>299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45542</v>
      </c>
      <c r="B235" s="6" t="n">
        <v>-18.36</v>
      </c>
      <c r="C235" s="6" t="n">
        <v>-18.36</v>
      </c>
      <c r="D235" s="2" t="s">
        <v>290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45544</v>
      </c>
      <c r="B236" s="6" t="n">
        <v>3350.6</v>
      </c>
      <c r="C236" s="6" t="n">
        <v>3350.6</v>
      </c>
      <c r="D236" s="2" t="s">
        <v>257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45545</v>
      </c>
      <c r="B237" s="6" t="n">
        <v>-35.08</v>
      </c>
      <c r="C237" s="6" t="n">
        <v>-35.08</v>
      </c>
      <c r="D237" s="2" t="s">
        <v>287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45545</v>
      </c>
      <c r="B238" s="6" t="n">
        <v>-27.06</v>
      </c>
      <c r="C238" s="6" t="n">
        <v>-27.06</v>
      </c>
      <c r="D238" s="2" t="s">
        <v>361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45545</v>
      </c>
      <c r="B239" s="6" t="n">
        <v>-15.86</v>
      </c>
      <c r="C239" s="6" t="n">
        <v>-15.86</v>
      </c>
      <c r="D239" s="2" t="s">
        <v>362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45546</v>
      </c>
      <c r="B240" s="6" t="n">
        <v>-3000</v>
      </c>
      <c r="C240" s="6" t="n">
        <v>-3000</v>
      </c>
      <c r="D240" s="2" t="s">
        <v>363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45546</v>
      </c>
      <c r="B241" s="6" t="n">
        <v>-24.63</v>
      </c>
      <c r="C241" s="6" t="n">
        <v>-24.63</v>
      </c>
      <c r="D241" s="2" t="s">
        <v>364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45546</v>
      </c>
      <c r="B242" s="6" t="n">
        <v>15.86</v>
      </c>
      <c r="C242" s="6" t="n">
        <v>15.86</v>
      </c>
      <c r="D242" s="2" t="s">
        <v>365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45546</v>
      </c>
      <c r="B243" s="6" t="n">
        <v>-114.5</v>
      </c>
      <c r="C243" s="6" t="n">
        <v>-114.5</v>
      </c>
      <c r="D243" s="2" t="s">
        <v>313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45547</v>
      </c>
      <c r="B244" s="6" t="n">
        <v>-103.08</v>
      </c>
      <c r="C244" s="6" t="n">
        <v>-103.08</v>
      </c>
      <c r="D244" s="2" t="s">
        <v>301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45547</v>
      </c>
      <c r="B245" s="6" t="n">
        <v>3000</v>
      </c>
      <c r="C245" s="6" t="n">
        <v>3000</v>
      </c>
      <c r="D245" s="2" t="s">
        <v>366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45548</v>
      </c>
      <c r="B246" s="6" t="n">
        <v>-310.6</v>
      </c>
      <c r="C246" s="6" t="n">
        <v>-310.6</v>
      </c>
      <c r="D246" s="2" t="s">
        <v>367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45551</v>
      </c>
      <c r="B247" s="6" t="n">
        <v>150335.92</v>
      </c>
      <c r="C247" s="6" t="n">
        <v>150335.92</v>
      </c>
      <c r="D247" s="2" t="s">
        <v>257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45553</v>
      </c>
      <c r="B248" s="6" t="n">
        <v>-987.94</v>
      </c>
      <c r="C248" s="6" t="n">
        <v>-987.94</v>
      </c>
      <c r="D248" s="2" t="s">
        <v>368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45553</v>
      </c>
      <c r="B249" s="6" t="n">
        <v>-504.6</v>
      </c>
      <c r="C249" s="6" t="n">
        <v>-504.6</v>
      </c>
      <c r="D249" s="2" t="s">
        <v>305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45553</v>
      </c>
      <c r="B250" s="6" t="n">
        <v>1525.54</v>
      </c>
      <c r="C250" s="6" t="n">
        <v>1525.54</v>
      </c>
      <c r="D250" s="2" t="s">
        <v>257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45559</v>
      </c>
      <c r="B251" s="6" t="n">
        <v>-55.32</v>
      </c>
      <c r="C251" s="6" t="n">
        <v>-55.32</v>
      </c>
      <c r="D251" s="2" t="s">
        <v>306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45559</v>
      </c>
      <c r="B252" s="6" t="n">
        <v>-660</v>
      </c>
      <c r="C252" s="6" t="n">
        <v>-660</v>
      </c>
      <c r="D252" s="2" t="s">
        <v>369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45559</v>
      </c>
      <c r="B253" s="6" t="n">
        <v>11007.06</v>
      </c>
      <c r="C253" s="6" t="n">
        <v>11007.06</v>
      </c>
      <c r="D253" s="2" t="s">
        <v>257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45560</v>
      </c>
      <c r="B254" s="6" t="n">
        <v>-94.7</v>
      </c>
      <c r="C254" s="6" t="n">
        <v>-94.7</v>
      </c>
      <c r="D254" s="2" t="s">
        <v>309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45560</v>
      </c>
      <c r="B255" s="6" t="n">
        <v>-77.44</v>
      </c>
      <c r="C255" s="6" t="n">
        <v>-77.44</v>
      </c>
      <c r="D255" s="2" t="s">
        <v>343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45560</v>
      </c>
      <c r="B256" s="6" t="n">
        <v>-1952</v>
      </c>
      <c r="C256" s="6" t="n">
        <v>-1952</v>
      </c>
      <c r="D256" s="2" t="s">
        <v>370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45560</v>
      </c>
      <c r="B257" s="6" t="n">
        <v>-760.6</v>
      </c>
      <c r="C257" s="6" t="n">
        <v>-760.6</v>
      </c>
      <c r="D257" s="2" t="s">
        <v>371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45560</v>
      </c>
      <c r="B258" s="6" t="n">
        <v>660</v>
      </c>
      <c r="C258" s="6" t="n">
        <v>660</v>
      </c>
      <c r="D258" s="2" t="s">
        <v>372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45560</v>
      </c>
      <c r="B259" s="6" t="n">
        <v>3192.06</v>
      </c>
      <c r="C259" s="6" t="n">
        <v>3192.06</v>
      </c>
      <c r="D259" s="2" t="s">
        <v>257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45562</v>
      </c>
      <c r="B260" s="6" t="n">
        <v>-105.2</v>
      </c>
      <c r="C260" s="6" t="n">
        <v>-105.2</v>
      </c>
      <c r="D260" s="2" t="s">
        <v>373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45565</v>
      </c>
      <c r="B261" s="6" t="n">
        <v>-339.43</v>
      </c>
      <c r="C261" s="6" t="n">
        <v>-339.43</v>
      </c>
      <c r="D261" s="2" t="s">
        <v>374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45566</v>
      </c>
      <c r="B262" s="6" t="n">
        <v>-33.5</v>
      </c>
      <c r="C262" s="6" t="n">
        <v>-33.5</v>
      </c>
      <c r="D262" s="2" t="s">
        <v>375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45566</v>
      </c>
      <c r="B263" s="6" t="n">
        <v>-390.7</v>
      </c>
      <c r="C263" s="6" t="n">
        <v>-390.7</v>
      </c>
      <c r="D263" s="2" t="s">
        <v>376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45567</v>
      </c>
      <c r="B264" s="6" t="n">
        <v>-68.82</v>
      </c>
      <c r="C264" s="6" t="n">
        <v>-68.82</v>
      </c>
      <c r="D264" s="2" t="s">
        <v>358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45567</v>
      </c>
      <c r="B265" s="6" t="n">
        <v>-1502.55</v>
      </c>
      <c r="C265" s="6" t="n">
        <v>-1502.55</v>
      </c>
      <c r="D265" s="2" t="s">
        <v>377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45567</v>
      </c>
      <c r="B266" s="6" t="n">
        <v>-44.6</v>
      </c>
      <c r="C266" s="6" t="n">
        <v>-44.6</v>
      </c>
      <c r="D266" s="2" t="s">
        <v>378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45567</v>
      </c>
      <c r="B267" s="6" t="n">
        <v>1779.47</v>
      </c>
      <c r="C267" s="6" t="n">
        <v>1779.47</v>
      </c>
      <c r="D267" s="2" t="s">
        <v>257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45567</v>
      </c>
      <c r="B268" s="6" t="n">
        <v>730.13</v>
      </c>
      <c r="C268" s="6" t="n">
        <v>730.13</v>
      </c>
      <c r="D268" s="2" t="s">
        <v>348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45568</v>
      </c>
      <c r="B269" s="6" t="n">
        <v>-102.68</v>
      </c>
      <c r="C269" s="6" t="n">
        <v>-102.68</v>
      </c>
      <c r="D269" s="2" t="s">
        <v>312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45568</v>
      </c>
      <c r="B270" s="6" t="n">
        <v>351.68</v>
      </c>
      <c r="C270" s="6" t="n">
        <v>351.68</v>
      </c>
      <c r="D270" s="2" t="s">
        <v>257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45571</v>
      </c>
      <c r="B271" s="6" t="n">
        <v>-35</v>
      </c>
      <c r="C271" s="6" t="n">
        <v>-35</v>
      </c>
      <c r="D271" s="2" t="s">
        <v>274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45572</v>
      </c>
      <c r="B272" s="6" t="n">
        <v>-18.36</v>
      </c>
      <c r="C272" s="6" t="n">
        <v>-18.36</v>
      </c>
      <c r="D272" s="2" t="s">
        <v>290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45573</v>
      </c>
      <c r="B273" s="6" t="n">
        <v>-77.76</v>
      </c>
      <c r="C273" s="6" t="n">
        <v>-77.76</v>
      </c>
      <c r="D273" s="2" t="s">
        <v>285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45574</v>
      </c>
      <c r="B274" s="6" t="n">
        <v>97.12</v>
      </c>
      <c r="C274" s="6" t="n">
        <v>97.12</v>
      </c>
      <c r="D274" s="2" t="s">
        <v>257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45575</v>
      </c>
      <c r="B275" s="6" t="n">
        <v>-35.08</v>
      </c>
      <c r="C275" s="6" t="n">
        <v>-35.08</v>
      </c>
      <c r="D275" s="2" t="s">
        <v>287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45576</v>
      </c>
      <c r="B276" s="6" t="n">
        <v>-114.5</v>
      </c>
      <c r="C276" s="6" t="n">
        <v>-114.5</v>
      </c>
      <c r="D276" s="2" t="s">
        <v>313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45576</v>
      </c>
      <c r="B277" s="6" t="n">
        <v>-154.5</v>
      </c>
      <c r="C277" s="6" t="n">
        <v>-154.5</v>
      </c>
      <c r="D277" s="2" t="s">
        <v>379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45576</v>
      </c>
      <c r="B278" s="6" t="n">
        <v>-70</v>
      </c>
      <c r="C278" s="6" t="n">
        <v>-70</v>
      </c>
      <c r="D278" s="2" t="s">
        <v>380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45579</v>
      </c>
      <c r="B279" s="6" t="n">
        <v>-542.52</v>
      </c>
      <c r="C279" s="6" t="n">
        <v>-542.52</v>
      </c>
      <c r="D279" s="2" t="s">
        <v>381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45582</v>
      </c>
      <c r="B280" s="6" t="n">
        <v>-21.94</v>
      </c>
      <c r="C280" s="6" t="n">
        <v>-21.94</v>
      </c>
      <c r="D280" s="2" t="s">
        <v>382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45584</v>
      </c>
      <c r="B281" s="6" t="n">
        <v>-86.6</v>
      </c>
      <c r="C281" s="6" t="n">
        <v>-86.6</v>
      </c>
      <c r="D281" s="2" t="s">
        <v>383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45589</v>
      </c>
      <c r="B282" s="6" t="n">
        <v>-156.52</v>
      </c>
      <c r="C282" s="6" t="n">
        <v>-156.52</v>
      </c>
      <c r="D282" s="2" t="s">
        <v>384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45589</v>
      </c>
      <c r="B283" s="6" t="n">
        <v>-175.96</v>
      </c>
      <c r="C283" s="6" t="n">
        <v>-175.96</v>
      </c>
      <c r="D283" s="2" t="s">
        <v>385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45590</v>
      </c>
      <c r="B284" s="6" t="n">
        <v>-77.44</v>
      </c>
      <c r="C284" s="6" t="n">
        <v>-77.44</v>
      </c>
      <c r="D284" s="2" t="s">
        <v>343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45594</v>
      </c>
      <c r="B285" s="6" t="n">
        <v>1587.02</v>
      </c>
      <c r="C285" s="6" t="n">
        <v>1587.02</v>
      </c>
      <c r="D285" s="2" t="s">
        <v>257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45596</v>
      </c>
      <c r="B286" s="6" t="n">
        <v>-328.37</v>
      </c>
      <c r="C286" s="6" t="n">
        <v>-328.37</v>
      </c>
      <c r="D286" s="2" t="s">
        <v>386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45597</v>
      </c>
      <c r="B287" s="6" t="n">
        <v>-360.3</v>
      </c>
      <c r="C287" s="6" t="n">
        <v>-360.3</v>
      </c>
      <c r="D287" s="2" t="s">
        <v>387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45597</v>
      </c>
      <c r="B288" s="6" t="n">
        <v>-32.45</v>
      </c>
      <c r="C288" s="6" t="n">
        <v>-32.45</v>
      </c>
      <c r="D288" s="2" t="s">
        <v>388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45597</v>
      </c>
      <c r="B289" s="6" t="n">
        <v>-68.82</v>
      </c>
      <c r="C289" s="6" t="n">
        <v>-68.82</v>
      </c>
      <c r="D289" s="2" t="s">
        <v>358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45597</v>
      </c>
      <c r="B290" s="6" t="n">
        <v>328.37</v>
      </c>
      <c r="C290" s="6" t="n">
        <v>328.37</v>
      </c>
      <c r="D290" s="2" t="s">
        <v>389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45598</v>
      </c>
      <c r="B291" s="6" t="n">
        <v>360.3</v>
      </c>
      <c r="C291" s="6" t="n">
        <v>360.3</v>
      </c>
      <c r="D291" s="2" t="s">
        <v>348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45598</v>
      </c>
      <c r="B292" s="6" t="n">
        <v>-43.7</v>
      </c>
      <c r="C292" s="6" t="n">
        <v>-43.7</v>
      </c>
      <c r="D292" s="2" t="s">
        <v>390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45601</v>
      </c>
      <c r="B293" s="6" t="n">
        <v>130.3</v>
      </c>
      <c r="C293" s="6" t="n">
        <v>130.3</v>
      </c>
      <c r="D293" s="2" t="s">
        <v>257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45602</v>
      </c>
      <c r="B294" s="6" t="n">
        <v>-18.36</v>
      </c>
      <c r="C294" s="6" t="n">
        <v>-18.36</v>
      </c>
      <c r="D294" s="2" t="s">
        <v>290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45603</v>
      </c>
      <c r="B295" s="6" t="n">
        <v>12095.41</v>
      </c>
      <c r="C295" s="6" t="n">
        <v>12095.41</v>
      </c>
      <c r="D295" s="2" t="s">
        <v>257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45605</v>
      </c>
      <c r="B296" s="6" t="n">
        <v>-35.08</v>
      </c>
      <c r="C296" s="6" t="n">
        <v>-35.08</v>
      </c>
      <c r="D296" s="2" t="s">
        <v>287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45605</v>
      </c>
      <c r="B297" s="6" t="n">
        <v>-400</v>
      </c>
      <c r="C297" s="6" t="n">
        <v>-400</v>
      </c>
      <c r="D297" s="2" t="s">
        <v>391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45606</v>
      </c>
      <c r="B298" s="6" t="n">
        <v>-114.5</v>
      </c>
      <c r="C298" s="6" t="n">
        <v>-114.5</v>
      </c>
      <c r="D298" s="2" t="s">
        <v>313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45607</v>
      </c>
      <c r="B299" s="6" t="n">
        <v>400</v>
      </c>
      <c r="C299" s="6" t="n">
        <v>400</v>
      </c>
      <c r="D299" s="2" t="s">
        <v>392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45609</v>
      </c>
      <c r="B300" s="6" t="n">
        <v>-310.5</v>
      </c>
      <c r="C300" s="6" t="n">
        <v>-310.5</v>
      </c>
      <c r="D300" s="2" t="s">
        <v>318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45609</v>
      </c>
      <c r="B301" s="6" t="n">
        <v>-500</v>
      </c>
      <c r="C301" s="6" t="n">
        <v>-500</v>
      </c>
      <c r="D301" s="2" t="s">
        <v>393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45610</v>
      </c>
      <c r="B302" s="6" t="n">
        <v>-173.45</v>
      </c>
      <c r="C302" s="6" t="n">
        <v>-173.45</v>
      </c>
      <c r="D302" s="2" t="s">
        <v>292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45610</v>
      </c>
      <c r="B303" s="6" t="n">
        <v>500</v>
      </c>
      <c r="C303" s="6" t="n">
        <v>500</v>
      </c>
      <c r="D303" s="2" t="s">
        <v>394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45615</v>
      </c>
      <c r="B304" s="6" t="n">
        <v>-128.28</v>
      </c>
      <c r="C304" s="6" t="n">
        <v>-128.28</v>
      </c>
      <c r="D304" s="2" t="s">
        <v>395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45615</v>
      </c>
      <c r="B305" s="6" t="n">
        <v>-82.74</v>
      </c>
      <c r="C305" s="6" t="n">
        <v>-82.74</v>
      </c>
      <c r="D305" s="2" t="s">
        <v>294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45616</v>
      </c>
      <c r="B306" s="6" t="n">
        <v>-247.2</v>
      </c>
      <c r="C306" s="6" t="n">
        <v>-247.2</v>
      </c>
      <c r="D306" s="2" t="s">
        <v>396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45616</v>
      </c>
      <c r="B307" s="6" t="n">
        <v>-532.04</v>
      </c>
      <c r="C307" s="6" t="n">
        <v>-532.04</v>
      </c>
      <c r="D307" s="2" t="s">
        <v>354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45616</v>
      </c>
      <c r="B308" s="6" t="n">
        <v>-148.8</v>
      </c>
      <c r="C308" s="6" t="n">
        <v>-148.8</v>
      </c>
      <c r="D308" s="2" t="s">
        <v>353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45620</v>
      </c>
      <c r="B309" s="6" t="n">
        <v>-77.44</v>
      </c>
      <c r="C309" s="6" t="n">
        <v>-77.44</v>
      </c>
      <c r="D309" s="2" t="s">
        <v>343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45621</v>
      </c>
      <c r="B310" s="6" t="n">
        <v>-79.6</v>
      </c>
      <c r="C310" s="6" t="n">
        <v>-79.6</v>
      </c>
      <c r="D310" s="2" t="s">
        <v>296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45621</v>
      </c>
      <c r="B311" s="6" t="n">
        <v>263.47</v>
      </c>
      <c r="C311" s="6" t="n">
        <v>263.47</v>
      </c>
      <c r="D311" s="2" t="s">
        <v>257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45622</v>
      </c>
      <c r="B312" s="6" t="n">
        <v>77.44</v>
      </c>
      <c r="C312" s="6" t="n">
        <v>77.44</v>
      </c>
      <c r="D312" s="2" t="s">
        <v>257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45623</v>
      </c>
      <c r="B313" s="6" t="n">
        <v>-1401.58</v>
      </c>
      <c r="C313" s="6" t="n">
        <v>-1401.58</v>
      </c>
      <c r="D313" s="2" t="s">
        <v>397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45623</v>
      </c>
      <c r="B314" s="6" t="n">
        <v>-1144.6</v>
      </c>
      <c r="C314" s="6" t="n">
        <v>-1144.6</v>
      </c>
      <c r="D314" s="2" t="s">
        <v>398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45623</v>
      </c>
      <c r="B315" s="6" t="n">
        <v>8400</v>
      </c>
      <c r="C315" s="6" t="n">
        <v>8400</v>
      </c>
      <c r="D315" s="2" t="s">
        <v>257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45625</v>
      </c>
      <c r="B316" s="6" t="n">
        <v>-64.43</v>
      </c>
      <c r="C316" s="6" t="n">
        <v>-64.43</v>
      </c>
      <c r="D316" s="2" t="s">
        <v>297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45626</v>
      </c>
      <c r="B317" s="6" t="n">
        <v>-318.64</v>
      </c>
      <c r="C317" s="6" t="n">
        <v>-318.64</v>
      </c>
      <c r="D317" s="2" t="s">
        <v>399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45627</v>
      </c>
      <c r="B318" s="6" t="n">
        <v>-68.82</v>
      </c>
      <c r="C318" s="6" t="n">
        <v>-68.82</v>
      </c>
      <c r="D318" s="2" t="s">
        <v>358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45627</v>
      </c>
      <c r="B319" s="6" t="n">
        <v>-30.09</v>
      </c>
      <c r="C319" s="6" t="n">
        <v>-30.09</v>
      </c>
      <c r="D319" s="2" t="s">
        <v>400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45627</v>
      </c>
      <c r="B320" s="6" t="n">
        <v>-363.7</v>
      </c>
      <c r="C320" s="6" t="n">
        <v>-363.7</v>
      </c>
      <c r="D320" s="2" t="s">
        <v>401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45628</v>
      </c>
      <c r="B321" s="6" t="n">
        <v>-70</v>
      </c>
      <c r="C321" s="6" t="n">
        <v>-70</v>
      </c>
      <c r="D321" s="2" t="s">
        <v>402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45628</v>
      </c>
      <c r="B322" s="6" t="n">
        <v>-38.8</v>
      </c>
      <c r="C322" s="6" t="n">
        <v>-38.8</v>
      </c>
      <c r="D322" s="2" t="s">
        <v>403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45628</v>
      </c>
      <c r="B323" s="6" t="n">
        <v>682.34</v>
      </c>
      <c r="C323" s="6" t="n">
        <v>682.34</v>
      </c>
      <c r="D323" s="2" t="s">
        <v>348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45629</v>
      </c>
      <c r="B324" s="6" t="n">
        <v>-244.5</v>
      </c>
      <c r="C324" s="6" t="n">
        <v>-244.5</v>
      </c>
      <c r="D324" s="2" t="s">
        <v>404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45630</v>
      </c>
      <c r="B325" s="6" t="n">
        <v>-2253.11</v>
      </c>
      <c r="C325" s="6" t="n">
        <v>-2253.11</v>
      </c>
      <c r="D325" s="2" t="s">
        <v>405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45630</v>
      </c>
      <c r="B326" s="6" t="n">
        <v>-1185.6</v>
      </c>
      <c r="C326" s="6" t="n">
        <v>-1185.6</v>
      </c>
      <c r="D326" s="2" t="s">
        <v>406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45630</v>
      </c>
      <c r="B327" s="6" t="n">
        <v>-2710.2</v>
      </c>
      <c r="C327" s="6" t="n">
        <v>-2710.2</v>
      </c>
      <c r="D327" s="2" t="s">
        <v>407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-18.36</v>
      </c>
      <c r="C328" s="6" t="n">
        <v>-18.36</v>
      </c>
      <c r="D328" s="2" t="s">
        <v>290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45632</v>
      </c>
      <c r="B329" s="6" t="n">
        <v>-5.33</v>
      </c>
      <c r="C329" s="6" t="n">
        <v>-5.33</v>
      </c>
      <c r="D329" s="2" t="s">
        <v>408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45634</v>
      </c>
      <c r="B330" s="6" t="n">
        <v>-3000</v>
      </c>
      <c r="C330" s="6" t="n">
        <v>-3000</v>
      </c>
      <c r="D330" s="2" t="s">
        <v>409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45635</v>
      </c>
      <c r="B331" s="6" t="n">
        <v>-70.78</v>
      </c>
      <c r="C331" s="6" t="n">
        <v>-70.78</v>
      </c>
      <c r="D331" s="2" t="s">
        <v>410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45635</v>
      </c>
      <c r="B332" s="6" t="n">
        <v>-35.08</v>
      </c>
      <c r="C332" s="6" t="n">
        <v>-35.08</v>
      </c>
      <c r="D332" s="2" t="s">
        <v>287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45635</v>
      </c>
      <c r="B333" s="6" t="n">
        <v>-400</v>
      </c>
      <c r="C333" s="6" t="n">
        <v>-400</v>
      </c>
      <c r="D333" s="2" t="s">
        <v>391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45635</v>
      </c>
      <c r="B334" s="6" t="n">
        <v>3000</v>
      </c>
      <c r="C334" s="6" t="n">
        <v>3000</v>
      </c>
      <c r="D334" s="2" t="s">
        <v>411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45636</v>
      </c>
      <c r="B335" s="6" t="n">
        <v>-110.2</v>
      </c>
      <c r="C335" s="6" t="n">
        <v>-110.2</v>
      </c>
      <c r="D335" s="2" t="s">
        <v>412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45636</v>
      </c>
      <c r="B336" s="6" t="n">
        <v>-16.56</v>
      </c>
      <c r="C336" s="6" t="n">
        <v>-16.56</v>
      </c>
      <c r="D336" s="2" t="s">
        <v>413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45636</v>
      </c>
      <c r="B337" s="6" t="n">
        <v>400</v>
      </c>
      <c r="C337" s="6" t="n">
        <v>400</v>
      </c>
      <c r="D337" s="2" t="s">
        <v>392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45637</v>
      </c>
      <c r="B338" s="6" t="n">
        <v>-27.13</v>
      </c>
      <c r="C338" s="6" t="n">
        <v>-27.13</v>
      </c>
      <c r="D338" s="2" t="s">
        <v>414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45637</v>
      </c>
      <c r="B339" s="6" t="n">
        <v>16.56</v>
      </c>
      <c r="C339" s="6" t="n">
        <v>16.56</v>
      </c>
      <c r="D339" s="2" t="s">
        <v>415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45639</v>
      </c>
      <c r="B340" s="6" t="n">
        <v>-310.6</v>
      </c>
      <c r="C340" s="6" t="n">
        <v>-310.6</v>
      </c>
      <c r="D340" s="2" t="s">
        <v>367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45639</v>
      </c>
      <c r="B341" s="6" t="n">
        <v>-1132.75</v>
      </c>
      <c r="C341" s="6" t="n">
        <v>-1132.75</v>
      </c>
      <c r="D341" s="2" t="s">
        <v>416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45641</v>
      </c>
      <c r="B342" s="6" t="n">
        <v>-87</v>
      </c>
      <c r="C342" s="6" t="n">
        <v>-87</v>
      </c>
      <c r="D342" s="2" t="s">
        <v>417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45643</v>
      </c>
      <c r="B343" s="6" t="n">
        <v>-447</v>
      </c>
      <c r="C343" s="6" t="n">
        <v>-447</v>
      </c>
      <c r="D343" s="2" t="s">
        <v>418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45643</v>
      </c>
      <c r="B344" s="6" t="n">
        <v>-43.06</v>
      </c>
      <c r="C344" s="6" t="n">
        <v>-43.06</v>
      </c>
      <c r="D344" s="2" t="s">
        <v>419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45649</v>
      </c>
      <c r="B345" s="6" t="n">
        <v>-197.6</v>
      </c>
      <c r="C345" s="6" t="n">
        <v>-197.6</v>
      </c>
      <c r="D345" s="2" t="s">
        <v>420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45650</v>
      </c>
      <c r="B346" s="6" t="n">
        <v>-77.44</v>
      </c>
      <c r="C346" s="6" t="n">
        <v>-77.44</v>
      </c>
      <c r="D346" s="2" t="s">
        <v>343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45650</v>
      </c>
      <c r="B347" s="6" t="n">
        <v>-55.32</v>
      </c>
      <c r="C347" s="6" t="n">
        <v>-55.32</v>
      </c>
      <c r="D347" s="2" t="s">
        <v>306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45657</v>
      </c>
      <c r="B348" s="6" t="n">
        <v>-68.82</v>
      </c>
      <c r="C348" s="6" t="n">
        <v>-68.82</v>
      </c>
      <c r="D348" s="2" t="s">
        <v>358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45657</v>
      </c>
      <c r="B349" s="6" t="n">
        <v>-330.96</v>
      </c>
      <c r="C349" s="6" t="n">
        <v>-330.96</v>
      </c>
      <c r="D349" s="2" t="s">
        <v>421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45658</v>
      </c>
      <c r="B350" s="6" t="n">
        <v>-359.8</v>
      </c>
      <c r="C350" s="6" t="n">
        <v>-359.8</v>
      </c>
      <c r="D350" s="2" t="s">
        <v>422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45658</v>
      </c>
      <c r="B351" s="6" t="n">
        <v>-29.11</v>
      </c>
      <c r="C351" s="6" t="n">
        <v>-29.11</v>
      </c>
      <c r="D351" s="2" t="s">
        <v>423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45659</v>
      </c>
      <c r="B352" s="6" t="n">
        <v>-36.9</v>
      </c>
      <c r="C352" s="6" t="n">
        <v>-36.9</v>
      </c>
      <c r="D352" s="2" t="s">
        <v>424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45659</v>
      </c>
      <c r="B353" s="6" t="n">
        <v>-102.68</v>
      </c>
      <c r="C353" s="6" t="n">
        <v>-102.68</v>
      </c>
      <c r="D353" s="2" t="s">
        <v>312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45662</v>
      </c>
      <c r="B354" s="6" t="n">
        <v>-18.36</v>
      </c>
      <c r="C354" s="6" t="n">
        <v>-18.36</v>
      </c>
      <c r="D354" s="2" t="s">
        <v>290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45663</v>
      </c>
      <c r="B355" s="6" t="n">
        <v>-2000</v>
      </c>
      <c r="C355" s="6" t="n">
        <v>-2000</v>
      </c>
      <c r="D355" s="2" t="s">
        <v>425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45664</v>
      </c>
      <c r="B356" s="6" t="n">
        <v>-77.76</v>
      </c>
      <c r="C356" s="6" t="n">
        <v>-77.76</v>
      </c>
      <c r="D356" s="2" t="s">
        <v>285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45665</v>
      </c>
      <c r="B357" s="6" t="n">
        <v>-400</v>
      </c>
      <c r="C357" s="6" t="n">
        <v>-400</v>
      </c>
      <c r="D357" s="2" t="s">
        <v>391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45666</v>
      </c>
      <c r="B358" s="6" t="n">
        <v>-105</v>
      </c>
      <c r="C358" s="6" t="n">
        <v>-105</v>
      </c>
      <c r="D358" s="2" t="s">
        <v>426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45667</v>
      </c>
      <c r="B359" s="6" t="n">
        <v>690.76</v>
      </c>
      <c r="C359" s="6" t="n">
        <v>690.76</v>
      </c>
      <c r="D359" s="2" t="s">
        <v>427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45667</v>
      </c>
      <c r="B360" s="6" t="n">
        <v>-144.15</v>
      </c>
      <c r="C360" s="6" t="n">
        <v>-144.15</v>
      </c>
      <c r="D360" s="2" t="s">
        <v>428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45667</v>
      </c>
      <c r="B361" s="6" t="n">
        <v>-3711.99</v>
      </c>
      <c r="C361" s="6" t="n">
        <v>-3711.99</v>
      </c>
      <c r="D361" s="2" t="s">
        <v>429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45670</v>
      </c>
      <c r="B362" s="6" t="n">
        <v>2400</v>
      </c>
      <c r="C362" s="6" t="n">
        <v>2400</v>
      </c>
      <c r="D362" s="2" t="s">
        <v>392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45673</v>
      </c>
      <c r="B363" s="6" t="n">
        <v>-6.93</v>
      </c>
      <c r="C363" s="6" t="n">
        <v>-6.93</v>
      </c>
      <c r="D363" s="2" t="s">
        <v>430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45680</v>
      </c>
      <c r="B364" s="6" t="n">
        <v>-156.52</v>
      </c>
      <c r="C364" s="6" t="n">
        <v>-156.52</v>
      </c>
      <c r="D364" s="2" t="s">
        <v>384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45680</v>
      </c>
      <c r="B365" s="6" t="n">
        <v>-77.44</v>
      </c>
      <c r="C365" s="6" t="n">
        <v>-77.44</v>
      </c>
      <c r="D365" s="2" t="s">
        <v>343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45680</v>
      </c>
      <c r="B366" s="6" t="n">
        <v>-175.96</v>
      </c>
      <c r="C366" s="6" t="n">
        <v>-175.96</v>
      </c>
      <c r="D366" s="2" t="s">
        <v>385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45687</v>
      </c>
      <c r="B367" s="6" t="n">
        <v>-68.82</v>
      </c>
      <c r="C367" s="6" t="n">
        <v>-68.82</v>
      </c>
      <c r="D367" s="2" t="s">
        <v>358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45688</v>
      </c>
      <c r="B368" s="6" t="n">
        <v>-173.45</v>
      </c>
      <c r="C368" s="6" t="n">
        <v>-173.45</v>
      </c>
      <c r="D368" s="2" t="s">
        <v>431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45688</v>
      </c>
      <c r="B369" s="6" t="n">
        <v>-297.99</v>
      </c>
      <c r="C369" s="6" t="n">
        <v>-297.99</v>
      </c>
      <c r="D369" s="2" t="s">
        <v>432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45689</v>
      </c>
      <c r="B370" s="6" t="n">
        <v>-26.87</v>
      </c>
      <c r="C370" s="6" t="n">
        <v>-26.87</v>
      </c>
      <c r="D370" s="2" t="s">
        <v>433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45689</v>
      </c>
      <c r="B371" s="6" t="n">
        <v>-329.6</v>
      </c>
      <c r="C371" s="6" t="n">
        <v>-329.6</v>
      </c>
      <c r="D371" s="2" t="s">
        <v>434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45690</v>
      </c>
      <c r="B372" s="6" t="n">
        <v>-34.6</v>
      </c>
      <c r="C372" s="6" t="n">
        <v>-34.6</v>
      </c>
      <c r="D372" s="2" t="s">
        <v>435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45691</v>
      </c>
      <c r="B373" s="6" t="n">
        <v>627.59</v>
      </c>
      <c r="C373" s="6" t="n">
        <v>627.59</v>
      </c>
      <c r="D373" s="2" t="s">
        <v>436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45692</v>
      </c>
      <c r="B374" s="6" t="n">
        <v>-18.36</v>
      </c>
      <c r="C374" s="6" t="n">
        <v>-18.36</v>
      </c>
      <c r="D374" s="2" t="s">
        <v>290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45695</v>
      </c>
      <c r="B375" s="6" t="n">
        <v>-400</v>
      </c>
      <c r="C375" s="6" t="n">
        <v>-400</v>
      </c>
      <c r="D375" s="2" t="s">
        <v>391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45696</v>
      </c>
      <c r="B376" s="6" t="n">
        <v>-100.7</v>
      </c>
      <c r="C376" s="6" t="n">
        <v>-100.7</v>
      </c>
      <c r="D376" s="2" t="s">
        <v>437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45698</v>
      </c>
      <c r="B377" s="6" t="n">
        <v>400</v>
      </c>
      <c r="C377" s="6" t="n">
        <v>400</v>
      </c>
      <c r="D377" s="2" t="s">
        <v>392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45700</v>
      </c>
      <c r="B378" s="6" t="n">
        <v>-2429</v>
      </c>
      <c r="C378" s="6" t="n">
        <v>-2429</v>
      </c>
      <c r="D378" s="2" t="s">
        <v>351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45700</v>
      </c>
      <c r="B379" s="6" t="n">
        <v>-500</v>
      </c>
      <c r="C379" s="6" t="n">
        <v>-500</v>
      </c>
      <c r="D379" s="2" t="s">
        <v>393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45701</v>
      </c>
      <c r="B380" s="6" t="n">
        <v>-156.5</v>
      </c>
      <c r="C380" s="6" t="n">
        <v>-156.5</v>
      </c>
      <c r="D380" s="2" t="s">
        <v>438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45701</v>
      </c>
      <c r="B381" s="6" t="n">
        <v>500</v>
      </c>
      <c r="C381" s="6" t="n">
        <v>500</v>
      </c>
      <c r="D381" s="2" t="s">
        <v>394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45702</v>
      </c>
      <c r="B382" s="6" t="n">
        <v>-115.64</v>
      </c>
      <c r="C382" s="6" t="n">
        <v>-115.64</v>
      </c>
      <c r="D382" s="2" t="s">
        <v>293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45706</v>
      </c>
      <c r="B383" s="6" t="n">
        <v>-82.74</v>
      </c>
      <c r="C383" s="6" t="n">
        <v>-82.74</v>
      </c>
      <c r="D383" s="2" t="s">
        <v>294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45707</v>
      </c>
      <c r="B384" s="6" t="n">
        <v>-532.04</v>
      </c>
      <c r="C384" s="6" t="n">
        <v>-532.04</v>
      </c>
      <c r="D384" s="2" t="s">
        <v>354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45707</v>
      </c>
      <c r="B385" s="6" t="n">
        <v>-148.8</v>
      </c>
      <c r="C385" s="6" t="n">
        <v>-148.8</v>
      </c>
      <c r="D385" s="2" t="s">
        <v>353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45710</v>
      </c>
      <c r="B386" s="6" t="n">
        <v>-77.44</v>
      </c>
      <c r="C386" s="6" t="n">
        <v>-77.44</v>
      </c>
      <c r="D386" s="2" t="s">
        <v>343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45712</v>
      </c>
      <c r="B387" s="6" t="n">
        <v>-79.6</v>
      </c>
      <c r="C387" s="6" t="n">
        <v>-79.6</v>
      </c>
      <c r="D387" s="2" t="s">
        <v>296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45716</v>
      </c>
      <c r="B388" s="6" t="n">
        <v>-64.43</v>
      </c>
      <c r="C388" s="6" t="n">
        <v>-64.43</v>
      </c>
      <c r="D388" s="2" t="s">
        <v>297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45716</v>
      </c>
      <c r="B389" s="6" t="n">
        <v>-273.49</v>
      </c>
      <c r="C389" s="6" t="n">
        <v>-273.49</v>
      </c>
      <c r="D389" s="2" t="s">
        <v>439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45717</v>
      </c>
      <c r="B390" s="6" t="n">
        <v>-306.6</v>
      </c>
      <c r="C390" s="6" t="n">
        <v>-306.6</v>
      </c>
      <c r="D390" s="2" t="s">
        <v>440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45717</v>
      </c>
      <c r="B391" s="6" t="n">
        <v>-68.82</v>
      </c>
      <c r="C391" s="6" t="n">
        <v>-68.82</v>
      </c>
      <c r="D391" s="2" t="s">
        <v>358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45717</v>
      </c>
      <c r="B392" s="6" t="n">
        <v>-23.04</v>
      </c>
      <c r="C392" s="6" t="n">
        <v>-23.04</v>
      </c>
      <c r="D392" s="2" t="s">
        <v>441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45718</v>
      </c>
      <c r="B393" s="6" t="n">
        <v>-29</v>
      </c>
      <c r="C393" s="6" t="n">
        <v>-29</v>
      </c>
      <c r="D393" s="2" t="s">
        <v>442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45721</v>
      </c>
      <c r="B394" s="6" t="n">
        <v>-200.6</v>
      </c>
      <c r="C394" s="6" t="n">
        <v>-200.6</v>
      </c>
      <c r="D394" s="2" t="s">
        <v>299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45721</v>
      </c>
      <c r="B395" s="6" t="n">
        <v>580.09</v>
      </c>
      <c r="C395" s="6" t="n">
        <v>580.09</v>
      </c>
      <c r="D395" s="2" t="s">
        <v>443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45722</v>
      </c>
      <c r="B396" s="6" t="n">
        <v>-18.36</v>
      </c>
      <c r="C396" s="6" t="n">
        <v>-18.36</v>
      </c>
      <c r="D396" s="2" t="s">
        <v>290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45725</v>
      </c>
      <c r="B397" s="6" t="n">
        <v>-400</v>
      </c>
      <c r="C397" s="6" t="n">
        <v>-400</v>
      </c>
      <c r="D397" s="2" t="s">
        <v>391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45726</v>
      </c>
      <c r="B398" s="6" t="n">
        <v>-96.5</v>
      </c>
      <c r="C398" s="6" t="n">
        <v>-96.5</v>
      </c>
      <c r="D398" s="2" t="s">
        <v>444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45726</v>
      </c>
      <c r="B399" s="6" t="n">
        <v>400</v>
      </c>
      <c r="C399" s="6" t="n">
        <v>400</v>
      </c>
      <c r="D399" s="2" t="s">
        <v>392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45727</v>
      </c>
      <c r="B400" s="6" t="n">
        <v>-17.25</v>
      </c>
      <c r="C400" s="6" t="n">
        <v>-17.25</v>
      </c>
      <c r="D400" s="2" t="s">
        <v>445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45728</v>
      </c>
      <c r="B401" s="6" t="n">
        <v>-29.99</v>
      </c>
      <c r="C401" s="6" t="n">
        <v>-29.99</v>
      </c>
      <c r="D401" s="2" t="s">
        <v>446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45728</v>
      </c>
      <c r="B402" s="6" t="n">
        <v>17.25</v>
      </c>
      <c r="C402" s="6" t="n">
        <v>17.25</v>
      </c>
      <c r="D402" s="2" t="s">
        <v>447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45730</v>
      </c>
      <c r="B403" s="6" t="n">
        <v>-310.6</v>
      </c>
      <c r="C403" s="6" t="n">
        <v>-310.6</v>
      </c>
      <c r="D403" s="2" t="s">
        <v>367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45735</v>
      </c>
      <c r="B404" s="6" t="n">
        <v>-987.94</v>
      </c>
      <c r="C404" s="6" t="n">
        <v>-987.94</v>
      </c>
      <c r="D404" s="2" t="s">
        <v>368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45735</v>
      </c>
      <c r="B405" s="6" t="n">
        <v>-504.6</v>
      </c>
      <c r="C405" s="6" t="n">
        <v>-504.6</v>
      </c>
      <c r="D405" s="2" t="s">
        <v>305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45740</v>
      </c>
      <c r="B406" s="6" t="n">
        <v>-77.44</v>
      </c>
      <c r="C406" s="6" t="n">
        <v>-77.44</v>
      </c>
      <c r="D406" s="2" t="s">
        <v>343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45741</v>
      </c>
      <c r="B407" s="6" t="n">
        <v>-660</v>
      </c>
      <c r="C407" s="6" t="n">
        <v>-660</v>
      </c>
      <c r="D407" s="2" t="s">
        <v>369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45741</v>
      </c>
      <c r="B408" s="6" t="n">
        <v>-55.32</v>
      </c>
      <c r="C408" s="6" t="n">
        <v>-55.32</v>
      </c>
      <c r="D408" s="2" t="s">
        <v>306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45742</v>
      </c>
      <c r="B409" s="6" t="n">
        <v>-1952</v>
      </c>
      <c r="C409" s="6" t="n">
        <v>-1952</v>
      </c>
      <c r="D409" s="2" t="s">
        <v>370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45742</v>
      </c>
      <c r="B410" s="6" t="n">
        <v>660</v>
      </c>
      <c r="C410" s="6" t="n">
        <v>660</v>
      </c>
      <c r="D410" s="2" t="s">
        <v>372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45742</v>
      </c>
      <c r="B411" s="6" t="n">
        <v>-1770.56</v>
      </c>
      <c r="C411" s="6" t="n">
        <v>-1770.56</v>
      </c>
      <c r="D411" s="2" t="s">
        <v>448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45742</v>
      </c>
      <c r="B412" s="6" t="n">
        <v>-63.82</v>
      </c>
      <c r="C412" s="6" t="n">
        <v>-63.82</v>
      </c>
      <c r="D412" s="2" t="s">
        <v>449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45747</v>
      </c>
      <c r="B413" s="6" t="n">
        <v>-68.82</v>
      </c>
      <c r="C413" s="6" t="n">
        <v>-68.82</v>
      </c>
      <c r="D413" s="2" t="s">
        <v>358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45747</v>
      </c>
      <c r="B414" s="6" t="n">
        <v>-255.92</v>
      </c>
      <c r="C414" s="6" t="n">
        <v>-255.92</v>
      </c>
      <c r="D414" s="2" t="s">
        <v>450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45748</v>
      </c>
      <c r="B415" s="6" t="n">
        <v>-22.95</v>
      </c>
      <c r="C415" s="6" t="n">
        <v>-22.95</v>
      </c>
      <c r="D415" s="2" t="s">
        <v>451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45748</v>
      </c>
      <c r="B416" s="6" t="n">
        <v>-301.7</v>
      </c>
      <c r="C416" s="6" t="n">
        <v>-301.7</v>
      </c>
      <c r="D416" s="2" t="s">
        <v>452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45748</v>
      </c>
      <c r="B417" s="6" t="n">
        <v>255.92</v>
      </c>
      <c r="C417" s="6" t="n">
        <v>255.92</v>
      </c>
      <c r="D417" s="2" t="s">
        <v>453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45749</v>
      </c>
      <c r="B418" s="6" t="n">
        <v>-29.6</v>
      </c>
      <c r="C418" s="6" t="n">
        <v>-29.6</v>
      </c>
      <c r="D418" s="2" t="s">
        <v>454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45749</v>
      </c>
      <c r="B419" s="6" t="n">
        <v>-1502.55</v>
      </c>
      <c r="C419" s="6" t="n">
        <v>-1502.55</v>
      </c>
      <c r="D419" s="2" t="s">
        <v>377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45749</v>
      </c>
      <c r="B420" s="6" t="n">
        <v>301.7</v>
      </c>
      <c r="C420" s="6" t="n">
        <v>301.7</v>
      </c>
      <c r="D420" s="2" t="s">
        <v>348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45750</v>
      </c>
      <c r="B421" s="6" t="n">
        <v>-102.68</v>
      </c>
      <c r="C421" s="6" t="n">
        <v>-102.68</v>
      </c>
      <c r="D421" s="2" t="s">
        <v>312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45752</v>
      </c>
      <c r="B422" s="6" t="n">
        <v>-18.36</v>
      </c>
      <c r="C422" s="6" t="n">
        <v>-18.36</v>
      </c>
      <c r="D422" s="2" t="s">
        <v>290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45755</v>
      </c>
      <c r="B423" s="6" t="n">
        <v>-400</v>
      </c>
      <c r="C423" s="6" t="n">
        <v>-400</v>
      </c>
      <c r="D423" s="2" t="s">
        <v>391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45756</v>
      </c>
      <c r="B424" s="6" t="n">
        <v>-91.2</v>
      </c>
      <c r="C424" s="6" t="n">
        <v>-91.2</v>
      </c>
      <c r="D424" s="2" t="s">
        <v>455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45757</v>
      </c>
      <c r="B425" s="6" t="n">
        <v>400</v>
      </c>
      <c r="C425" s="6" t="n">
        <v>400</v>
      </c>
      <c r="D425" s="2" t="s">
        <v>392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45758</v>
      </c>
      <c r="B426" s="6" t="n">
        <v>-144.15</v>
      </c>
      <c r="C426" s="6" t="n">
        <v>-144.15</v>
      </c>
      <c r="D426" s="2" t="s">
        <v>428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45770</v>
      </c>
      <c r="B427" s="6" t="n">
        <v>-77.44</v>
      </c>
      <c r="C427" s="6" t="n">
        <v>-77.44</v>
      </c>
      <c r="D427" s="2" t="s">
        <v>343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45771</v>
      </c>
      <c r="B428" s="6" t="n">
        <v>-156.52</v>
      </c>
      <c r="C428" s="6" t="n">
        <v>-156.52</v>
      </c>
      <c r="D428" s="2" t="s">
        <v>384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45771</v>
      </c>
      <c r="B429" s="6" t="n">
        <v>-175.96</v>
      </c>
      <c r="C429" s="6" t="n">
        <v>-175.96</v>
      </c>
      <c r="D429" s="2" t="s">
        <v>385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45772</v>
      </c>
      <c r="B430" s="6" t="n">
        <v>-635</v>
      </c>
      <c r="C430" s="6" t="n">
        <v>-635</v>
      </c>
      <c r="D430" s="2" t="s">
        <v>456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45775</v>
      </c>
      <c r="B431" s="6" t="n">
        <v>-203.25</v>
      </c>
      <c r="C431" s="6" t="n">
        <v>-203.25</v>
      </c>
      <c r="D431" s="2" t="s">
        <v>457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45776</v>
      </c>
      <c r="B432" s="6" t="n">
        <v>-68</v>
      </c>
      <c r="C432" s="6" t="n">
        <v>-68</v>
      </c>
      <c r="D432" s="2" t="s">
        <v>273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45777</v>
      </c>
      <c r="B433" s="6" t="n">
        <v>-68.82</v>
      </c>
      <c r="C433" s="6" t="n">
        <v>-68.82</v>
      </c>
      <c r="D433" s="2" t="s">
        <v>358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45777</v>
      </c>
      <c r="B434" s="6" t="n">
        <v>-253.82</v>
      </c>
      <c r="C434" s="6" t="n">
        <v>-253.82</v>
      </c>
      <c r="D434" s="2" t="s">
        <v>458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45778</v>
      </c>
      <c r="B435" s="6" t="n">
        <v>-21.43</v>
      </c>
      <c r="C435" s="6" t="n">
        <v>-21.43</v>
      </c>
      <c r="D435" s="2" t="s">
        <v>459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45778</v>
      </c>
      <c r="B436" s="6" t="n">
        <v>-309</v>
      </c>
      <c r="C436" s="6" t="n">
        <v>-309</v>
      </c>
      <c r="D436" s="2" t="s">
        <v>460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45779</v>
      </c>
      <c r="B437" s="6" t="n">
        <v>-173.45</v>
      </c>
      <c r="C437" s="6" t="n">
        <v>-173.45</v>
      </c>
      <c r="D437" s="2" t="s">
        <v>431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45779</v>
      </c>
      <c r="B438" s="6" t="n">
        <v>-25.8</v>
      </c>
      <c r="C438" s="6" t="n">
        <v>-25.8</v>
      </c>
      <c r="D438" s="2" t="s">
        <v>461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45781</v>
      </c>
      <c r="B439" s="6" t="n">
        <v>-2000</v>
      </c>
      <c r="C439" s="6" t="n">
        <v>-2000</v>
      </c>
      <c r="D439" s="2" t="s">
        <v>462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45782</v>
      </c>
      <c r="B440" s="6" t="n">
        <v>-18.36</v>
      </c>
      <c r="C440" s="6" t="n">
        <v>-18.36</v>
      </c>
      <c r="D440" s="2" t="s">
        <v>290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45782</v>
      </c>
      <c r="B441" s="6" t="n">
        <v>309</v>
      </c>
      <c r="C441" s="6" t="n">
        <v>309</v>
      </c>
      <c r="D441" s="2" t="s">
        <v>348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45783</v>
      </c>
      <c r="B442" s="6" t="n">
        <v>253.82</v>
      </c>
      <c r="C442" s="6" t="n">
        <v>253.82</v>
      </c>
      <c r="D442" s="2" t="s">
        <v>453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45785</v>
      </c>
      <c r="B443" s="6" t="n">
        <v>-400</v>
      </c>
      <c r="C443" s="6" t="n">
        <v>-400</v>
      </c>
      <c r="D443" s="2" t="s">
        <v>391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45786</v>
      </c>
      <c r="B444" s="6" t="n">
        <v>-86.9</v>
      </c>
      <c r="C444" s="6" t="n">
        <v>-86.9</v>
      </c>
      <c r="D444" s="2" t="s">
        <v>463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45791</v>
      </c>
      <c r="B445" s="6" t="n">
        <v>-310.5</v>
      </c>
      <c r="C445" s="6" t="n">
        <v>-310.5</v>
      </c>
      <c r="D445" s="2" t="s">
        <v>318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45792</v>
      </c>
      <c r="B446" s="6" t="n">
        <v>-138.55</v>
      </c>
      <c r="C446" s="6" t="n">
        <v>-138.55</v>
      </c>
      <c r="D446" s="2" t="s">
        <v>464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45796</v>
      </c>
      <c r="B447" s="6" t="n">
        <v>-500</v>
      </c>
      <c r="C447" s="6" t="n">
        <v>-500</v>
      </c>
      <c r="D447" s="2" t="s">
        <v>465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45797</v>
      </c>
      <c r="B448" s="6" t="n">
        <v>-82.74</v>
      </c>
      <c r="C448" s="6" t="n">
        <v>-82.74</v>
      </c>
      <c r="D448" s="2" t="s">
        <v>294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45797</v>
      </c>
      <c r="B449" s="6" t="n">
        <v>-154.02</v>
      </c>
      <c r="C449" s="6" t="n">
        <v>-154.02</v>
      </c>
      <c r="D449" s="2" t="s">
        <v>466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45798</v>
      </c>
      <c r="B450" s="6" t="n">
        <v>-247.2</v>
      </c>
      <c r="C450" s="6" t="n">
        <v>-247.2</v>
      </c>
      <c r="D450" s="2" t="s">
        <v>396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45798</v>
      </c>
      <c r="B451" s="6" t="n">
        <v>-532.04</v>
      </c>
      <c r="C451" s="6" t="n">
        <v>-532.04</v>
      </c>
      <c r="D451" s="2" t="s">
        <v>354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45798</v>
      </c>
      <c r="B452" s="6" t="n">
        <v>-148.8</v>
      </c>
      <c r="C452" s="6" t="n">
        <v>-148.8</v>
      </c>
      <c r="D452" s="2" t="s">
        <v>353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45800</v>
      </c>
      <c r="B453" s="6" t="n">
        <v>-77.44</v>
      </c>
      <c r="C453" s="6" t="n">
        <v>-77.44</v>
      </c>
      <c r="D453" s="2" t="s">
        <v>343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45803</v>
      </c>
      <c r="B454" s="6" t="n">
        <v>-260.2</v>
      </c>
      <c r="C454" s="6" t="n">
        <v>-260.2</v>
      </c>
      <c r="D454" s="2" t="s">
        <v>467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45805</v>
      </c>
      <c r="B455" s="6" t="n">
        <v>-1062.6</v>
      </c>
      <c r="C455" s="6" t="n">
        <v>-1062.6</v>
      </c>
      <c r="D455" s="2" t="s">
        <v>468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45805</v>
      </c>
      <c r="B456" s="6" t="n">
        <v>-1401.58</v>
      </c>
      <c r="C456" s="6" t="n">
        <v>-1401.58</v>
      </c>
      <c r="D456" s="2" t="s">
        <v>397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45807</v>
      </c>
      <c r="B457" s="6" t="n">
        <v>-68.82</v>
      </c>
      <c r="C457" s="6" t="n">
        <v>-68.82</v>
      </c>
      <c r="D457" s="2" t="s">
        <v>358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45807</v>
      </c>
      <c r="B458" s="6" t="n">
        <v>-64.43</v>
      </c>
      <c r="C458" s="6" t="n">
        <v>-64.43</v>
      </c>
      <c r="D458" s="2" t="s">
        <v>297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45808</v>
      </c>
      <c r="B459" s="6" t="n">
        <v>-244.72</v>
      </c>
      <c r="C459" s="6" t="n">
        <v>-244.72</v>
      </c>
      <c r="D459" s="2" t="s">
        <v>469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45809</v>
      </c>
      <c r="B460" s="6" t="n">
        <v>-298</v>
      </c>
      <c r="C460" s="6" t="n">
        <v>-298</v>
      </c>
      <c r="D460" s="2" t="s">
        <v>470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45809</v>
      </c>
      <c r="B461" s="6" t="n">
        <v>-20.52</v>
      </c>
      <c r="C461" s="6" t="n">
        <v>-20.52</v>
      </c>
      <c r="D461" s="2" t="s">
        <v>471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45810</v>
      </c>
      <c r="B462" s="6" t="n">
        <v>-23.9</v>
      </c>
      <c r="C462" s="6" t="n">
        <v>-23.9</v>
      </c>
      <c r="D462" s="2" t="s">
        <v>472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45810</v>
      </c>
      <c r="B463" s="6" t="n">
        <v>542.72</v>
      </c>
      <c r="C463" s="6" t="n">
        <v>542.72</v>
      </c>
      <c r="D463" s="2" t="s">
        <v>473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45811</v>
      </c>
      <c r="B464" s="6" t="n">
        <v>-244.5</v>
      </c>
      <c r="C464" s="6" t="n">
        <v>-244.5</v>
      </c>
      <c r="D464" s="2" t="s">
        <v>404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45811</v>
      </c>
      <c r="B465" s="6" t="n">
        <v>-471</v>
      </c>
      <c r="C465" s="6" t="n">
        <v>-471</v>
      </c>
      <c r="D465" s="2" t="s">
        <v>474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45812</v>
      </c>
      <c r="B466" s="6" t="n">
        <v>-2253.11</v>
      </c>
      <c r="C466" s="6" t="n">
        <v>-2253.11</v>
      </c>
      <c r="D466" s="2" t="s">
        <v>405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45812</v>
      </c>
      <c r="B467" s="6" t="n">
        <v>-1062.6</v>
      </c>
      <c r="C467" s="6" t="n">
        <v>-1062.6</v>
      </c>
      <c r="D467" s="2" t="s">
        <v>475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45812</v>
      </c>
      <c r="B468" s="6" t="n">
        <v>-2710.2</v>
      </c>
      <c r="C468" s="6" t="n">
        <v>-2710.2</v>
      </c>
      <c r="D468" s="2" t="s">
        <v>407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45815</v>
      </c>
      <c r="B469" s="6" t="n">
        <v>-50</v>
      </c>
      <c r="C469" s="6" t="n">
        <v>-50</v>
      </c>
      <c r="D469" s="2" t="s">
        <v>476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45815</v>
      </c>
      <c r="B470" s="6" t="n">
        <v>-400</v>
      </c>
      <c r="C470" s="6" t="n">
        <v>-400</v>
      </c>
      <c r="D470" s="2" t="s">
        <v>391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45816</v>
      </c>
      <c r="B471" s="6" t="n">
        <v>-82.7</v>
      </c>
      <c r="C471" s="6" t="n">
        <v>-82.7</v>
      </c>
      <c r="D471" s="2" t="s">
        <v>477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45817</v>
      </c>
      <c r="B472" s="6" t="n">
        <v>-72.5</v>
      </c>
      <c r="C472" s="6" t="n">
        <v>-72.5</v>
      </c>
      <c r="D472" s="2" t="s">
        <v>478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45817</v>
      </c>
      <c r="B473" s="6" t="n">
        <v>-123.5</v>
      </c>
      <c r="C473" s="6" t="n">
        <v>-123.5</v>
      </c>
      <c r="D473" s="2" t="s">
        <v>479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45817</v>
      </c>
      <c r="B474" s="6" t="n">
        <v>-70.78</v>
      </c>
      <c r="C474" s="6" t="n">
        <v>-70.78</v>
      </c>
      <c r="D474" s="2" t="s">
        <v>410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45817</v>
      </c>
      <c r="B475" s="6" t="n">
        <v>800</v>
      </c>
      <c r="C475" s="6" t="n">
        <v>800</v>
      </c>
      <c r="D475" s="2" t="s">
        <v>480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45818</v>
      </c>
      <c r="B476" s="6" t="n">
        <v>-17.38</v>
      </c>
      <c r="C476" s="6" t="n">
        <v>-17.38</v>
      </c>
      <c r="D476" s="2" t="s">
        <v>481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45819</v>
      </c>
      <c r="B477" s="6" t="n">
        <v>-30.02</v>
      </c>
      <c r="C477" s="6" t="n">
        <v>-30.02</v>
      </c>
      <c r="D477" s="2" t="s">
        <v>482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45820</v>
      </c>
      <c r="B478" s="6" t="n">
        <v>34.76</v>
      </c>
      <c r="C478" s="6" t="n">
        <v>34.76</v>
      </c>
      <c r="D478" s="2" t="s">
        <v>483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45821</v>
      </c>
      <c r="B479" s="6" t="n">
        <v>-310.6</v>
      </c>
      <c r="C479" s="6" t="n">
        <v>-310.6</v>
      </c>
      <c r="D479" s="2" t="s">
        <v>367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45830</v>
      </c>
      <c r="B480" s="6" t="n">
        <v>-77.44</v>
      </c>
      <c r="C480" s="6" t="n">
        <v>-77.44</v>
      </c>
      <c r="D480" s="2" t="s">
        <v>343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45832</v>
      </c>
      <c r="B481" s="6" t="n">
        <v>-55.32</v>
      </c>
      <c r="C481" s="6" t="n">
        <v>-55.32</v>
      </c>
      <c r="D481" s="2" t="s">
        <v>306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45837</v>
      </c>
      <c r="B482" s="6" t="n">
        <v>-68.82</v>
      </c>
      <c r="C482" s="6" t="n">
        <v>-68.82</v>
      </c>
      <c r="D482" s="2" t="s">
        <v>358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45838</v>
      </c>
      <c r="B483" s="6" t="n">
        <v>-227.15</v>
      </c>
      <c r="C483" s="6" t="n">
        <v>-227.15</v>
      </c>
      <c r="D483" s="2" t="s">
        <v>484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45839</v>
      </c>
      <c r="B484" s="6" t="n">
        <v>-18.14</v>
      </c>
      <c r="C484" s="6" t="n">
        <v>-18.14</v>
      </c>
      <c r="D484" s="2" t="s">
        <v>485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45839</v>
      </c>
      <c r="B485" s="6" t="n">
        <v>-296.1</v>
      </c>
      <c r="C485" s="6" t="n">
        <v>-296.1</v>
      </c>
      <c r="D485" s="2" t="s">
        <v>486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45840</v>
      </c>
      <c r="B486" s="6" t="n">
        <v>-21.3</v>
      </c>
      <c r="C486" s="6" t="n">
        <v>-21.3</v>
      </c>
      <c r="D486" s="2" t="s">
        <v>487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45840</v>
      </c>
      <c r="B487" s="6" t="n">
        <v>227.15</v>
      </c>
      <c r="C487" s="6" t="n">
        <v>227.15</v>
      </c>
      <c r="D487" s="2" t="s">
        <v>488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45841</v>
      </c>
      <c r="B488" s="6" t="n">
        <v>-102.68</v>
      </c>
      <c r="C488" s="6" t="n">
        <v>-102.68</v>
      </c>
      <c r="D488" s="2" t="s">
        <v>312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45841</v>
      </c>
      <c r="B489" s="6" t="n">
        <v>296.1</v>
      </c>
      <c r="C489" s="6" t="n">
        <v>296.1</v>
      </c>
      <c r="D489" s="2" t="s">
        <v>489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45845</v>
      </c>
      <c r="B490" s="6" t="n">
        <v>-400</v>
      </c>
      <c r="C490" s="6" t="n">
        <v>-400</v>
      </c>
      <c r="D490" s="2" t="s">
        <v>391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45845</v>
      </c>
      <c r="B491" s="6" t="n">
        <v>-35</v>
      </c>
      <c r="C491" s="6" t="n">
        <v>-35</v>
      </c>
      <c r="D491" s="2" t="s">
        <v>274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45846</v>
      </c>
      <c r="B492" s="6" t="n">
        <v>-77.4</v>
      </c>
      <c r="C492" s="6" t="n">
        <v>-77.4</v>
      </c>
      <c r="D492" s="2" t="s">
        <v>490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45846</v>
      </c>
      <c r="B493" s="6" t="n">
        <v>-152</v>
      </c>
      <c r="C493" s="6" t="n">
        <v>-152</v>
      </c>
      <c r="D493" s="2" t="s">
        <v>491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45846</v>
      </c>
      <c r="B494" s="6" t="n">
        <v>-284.52</v>
      </c>
      <c r="C494" s="6" t="n">
        <v>-284.52</v>
      </c>
      <c r="D494" s="2" t="s">
        <v>492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45846</v>
      </c>
      <c r="B495" s="6" t="n">
        <v>400</v>
      </c>
      <c r="C495" s="6" t="n">
        <v>400</v>
      </c>
      <c r="D495" s="2" t="s">
        <v>480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45848</v>
      </c>
      <c r="B496" s="6" t="n">
        <v>-227.1</v>
      </c>
      <c r="C496" s="6" t="n">
        <v>-227.1</v>
      </c>
      <c r="D496" s="2" t="s">
        <v>493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45848</v>
      </c>
      <c r="B497" s="6" t="n">
        <v>-8.44</v>
      </c>
      <c r="C497" s="6" t="n">
        <v>-8.44</v>
      </c>
      <c r="D497" s="2" t="s">
        <v>494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45848</v>
      </c>
      <c r="B498" s="6" t="n">
        <v>-5000</v>
      </c>
      <c r="C498" s="6" t="n">
        <v>-5000</v>
      </c>
      <c r="D498" s="2" t="s">
        <v>495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45849</v>
      </c>
      <c r="B499" s="6" t="n">
        <v>-144.15</v>
      </c>
      <c r="C499" s="6" t="n">
        <v>-144.15</v>
      </c>
      <c r="D499" s="2" t="s">
        <v>428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45849</v>
      </c>
      <c r="B500" s="6" t="n">
        <v>5000</v>
      </c>
      <c r="C500" s="6" t="n">
        <v>5000</v>
      </c>
      <c r="D500" s="2" t="s">
        <v>496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45852</v>
      </c>
      <c r="B501" s="6" t="n">
        <v>-67.77</v>
      </c>
      <c r="C501" s="6" t="n">
        <v>-67.77</v>
      </c>
      <c r="D501" s="2" t="s">
        <v>497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45852</v>
      </c>
      <c r="B502" s="6" t="n">
        <v>-749.57</v>
      </c>
      <c r="C502" s="6" t="n">
        <v>-749.57</v>
      </c>
      <c r="D502" s="2" t="s">
        <v>498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45855</v>
      </c>
      <c r="B503" s="6" t="n">
        <v>-157</v>
      </c>
      <c r="C503" s="6" t="n">
        <v>-157</v>
      </c>
      <c r="D503" s="2" t="s">
        <v>499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45855</v>
      </c>
      <c r="B504" s="6" t="n">
        <v>-344.5</v>
      </c>
      <c r="C504" s="6" t="n">
        <v>-344.5</v>
      </c>
      <c r="D504" s="2" t="s">
        <v>500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45855</v>
      </c>
      <c r="B505" s="6" t="n">
        <v>-739</v>
      </c>
      <c r="C505" s="6" t="n">
        <v>-739</v>
      </c>
      <c r="D505" s="2" t="s">
        <v>501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45856</v>
      </c>
      <c r="B506" s="6" t="n">
        <v>-1516</v>
      </c>
      <c r="C506" s="6" t="n">
        <v>-1516</v>
      </c>
      <c r="D506" s="2" t="s">
        <v>502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45858</v>
      </c>
      <c r="B507" s="6" t="n">
        <v>-1494.56</v>
      </c>
      <c r="C507" s="6" t="n">
        <v>-1494.56</v>
      </c>
      <c r="D507" s="2" t="s">
        <v>503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45860</v>
      </c>
      <c r="B508" s="6" t="n">
        <v>-77.44</v>
      </c>
      <c r="C508" s="6" t="n">
        <v>-77.44</v>
      </c>
      <c r="D508" s="2" t="s">
        <v>343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45862</v>
      </c>
      <c r="B509" s="6" t="n">
        <v>-278.12</v>
      </c>
      <c r="C509" s="6" t="n">
        <v>-278.12</v>
      </c>
      <c r="D509" s="2" t="s">
        <v>504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45862</v>
      </c>
      <c r="B510" s="6" t="n">
        <v>-175.96</v>
      </c>
      <c r="C510" s="6" t="n">
        <v>-175.96</v>
      </c>
      <c r="D510" s="2" t="s">
        <v>385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45867</v>
      </c>
      <c r="B511" s="6" t="n">
        <v>-68.82</v>
      </c>
      <c r="C511" s="6" t="n">
        <v>-68.82</v>
      </c>
      <c r="D511" s="2" t="s">
        <v>358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45869</v>
      </c>
      <c r="B512" s="6" t="n">
        <v>-229.6</v>
      </c>
      <c r="C512" s="6" t="n">
        <v>-229.6</v>
      </c>
      <c r="D512" s="2" t="s">
        <v>505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45870</v>
      </c>
      <c r="B513" s="6" t="n">
        <v>-17.3</v>
      </c>
      <c r="C513" s="6" t="n">
        <v>-17.3</v>
      </c>
      <c r="D513" s="2" t="s">
        <v>506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45870</v>
      </c>
      <c r="B514" s="6" t="n">
        <v>-282.1</v>
      </c>
      <c r="C514" s="6" t="n">
        <v>-282.1</v>
      </c>
      <c r="D514" s="2" t="s">
        <v>507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45870</v>
      </c>
      <c r="B515" s="6" t="n">
        <v>-281.9</v>
      </c>
      <c r="C515" s="6" t="n">
        <v>-281.9</v>
      </c>
      <c r="D515" s="2" t="s">
        <v>508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45871</v>
      </c>
      <c r="B516" s="6" t="n">
        <v>-19.4</v>
      </c>
      <c r="C516" s="6" t="n">
        <v>-19.4</v>
      </c>
      <c r="D516" s="2" t="s">
        <v>509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45871</v>
      </c>
      <c r="B517" s="6" t="n">
        <v>229.6</v>
      </c>
      <c r="C517" s="6" t="n">
        <v>229.6</v>
      </c>
      <c r="D517" s="2" t="s">
        <v>510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45874</v>
      </c>
      <c r="B518" s="6" t="n">
        <v>281.9</v>
      </c>
      <c r="C518" s="6" t="n">
        <v>281.9</v>
      </c>
      <c r="D518" s="2" t="s">
        <v>511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45875</v>
      </c>
      <c r="B519" s="6" t="n">
        <v>-400</v>
      </c>
      <c r="C519" s="6" t="n">
        <v>-400</v>
      </c>
      <c r="D519" s="2" t="s">
        <v>391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45876</v>
      </c>
      <c r="B520" s="6" t="n">
        <v>-73.2</v>
      </c>
      <c r="C520" s="6" t="n">
        <v>-73.2</v>
      </c>
      <c r="D520" s="2" t="s">
        <v>512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45876</v>
      </c>
      <c r="B521" s="6" t="n">
        <v>400</v>
      </c>
      <c r="C521" s="6" t="n">
        <v>400</v>
      </c>
      <c r="D521" s="2" t="s">
        <v>480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45882</v>
      </c>
      <c r="B522" s="6" t="n">
        <v>-2429</v>
      </c>
      <c r="C522" s="6" t="n">
        <v>-2429</v>
      </c>
      <c r="D522" s="2" t="s">
        <v>351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45882</v>
      </c>
      <c r="B523" s="6" t="n">
        <v>-47.2</v>
      </c>
      <c r="C523" s="6" t="n">
        <v>-47.2</v>
      </c>
      <c r="D523" s="2" t="s">
        <v>513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45883</v>
      </c>
      <c r="B524" s="6" t="n">
        <v>-138.55</v>
      </c>
      <c r="C524" s="6" t="n">
        <v>-138.55</v>
      </c>
      <c r="D524" s="2" t="s">
        <v>464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45884</v>
      </c>
      <c r="B525" s="6" t="n">
        <v>-115.64</v>
      </c>
      <c r="C525" s="6" t="n">
        <v>-115.64</v>
      </c>
      <c r="D525" s="2" t="s">
        <v>293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45887</v>
      </c>
      <c r="B526" s="6" t="n">
        <v>-500</v>
      </c>
      <c r="C526" s="6" t="n">
        <v>-500</v>
      </c>
      <c r="D526" s="2" t="s">
        <v>465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45888</v>
      </c>
      <c r="B527" s="6" t="n">
        <v>-62.06</v>
      </c>
      <c r="C527" s="6" t="n">
        <v>-62.06</v>
      </c>
      <c r="D527" s="2" t="s">
        <v>514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45889</v>
      </c>
      <c r="B528" s="6" t="n">
        <v>-532.04</v>
      </c>
      <c r="C528" s="6" t="n">
        <v>-532.04</v>
      </c>
      <c r="D528" s="2" t="s">
        <v>354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45889</v>
      </c>
      <c r="B529" s="6" t="n">
        <v>-148.8</v>
      </c>
      <c r="C529" s="6" t="n">
        <v>-148.8</v>
      </c>
      <c r="D529" s="2" t="s">
        <v>353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45890</v>
      </c>
      <c r="B530" s="6" t="n">
        <v>-77.44</v>
      </c>
      <c r="C530" s="6" t="n">
        <v>-77.44</v>
      </c>
      <c r="D530" s="2" t="s">
        <v>343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45894</v>
      </c>
      <c r="B531" s="6" t="n">
        <v>-260.2</v>
      </c>
      <c r="C531" s="6" t="n">
        <v>-260.2</v>
      </c>
      <c r="D531" s="2" t="s">
        <v>467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45897</v>
      </c>
      <c r="B532" s="6" t="n">
        <v>-68.82</v>
      </c>
      <c r="C532" s="6" t="n">
        <v>-68.82</v>
      </c>
      <c r="D532" s="2" t="s">
        <v>358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45898</v>
      </c>
      <c r="B533" s="6" t="n">
        <v>-64.43</v>
      </c>
      <c r="C533" s="6" t="n">
        <v>-64.43</v>
      </c>
      <c r="D533" s="2" t="s">
        <v>297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45900</v>
      </c>
      <c r="B534" s="6" t="n">
        <v>-221.48</v>
      </c>
      <c r="C534" s="6" t="n">
        <v>-221.48</v>
      </c>
      <c r="D534" s="2" t="s">
        <v>515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45901</v>
      </c>
      <c r="B535" s="6" t="n">
        <v>-16.69</v>
      </c>
      <c r="C535" s="6" t="n">
        <v>-16.69</v>
      </c>
      <c r="D535" s="2" t="s">
        <v>516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45901</v>
      </c>
      <c r="B536" s="6" t="n">
        <v>-279.8</v>
      </c>
      <c r="C536" s="6" t="n">
        <v>-279.8</v>
      </c>
      <c r="D536" s="2" t="s">
        <v>517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45901</v>
      </c>
      <c r="B537" s="6" t="n">
        <v>221.48</v>
      </c>
      <c r="C537" s="6" t="n">
        <v>221.48</v>
      </c>
      <c r="D537" s="2" t="s">
        <v>518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45902</v>
      </c>
      <c r="B538" s="6" t="n">
        <v>-16.7</v>
      </c>
      <c r="C538" s="6" t="n">
        <v>-16.7</v>
      </c>
      <c r="D538" s="2" t="s">
        <v>519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45902</v>
      </c>
      <c r="B539" s="6" t="n">
        <v>279.8</v>
      </c>
      <c r="C539" s="6" t="n">
        <v>279.8</v>
      </c>
      <c r="D539" s="2" t="s">
        <v>520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45903</v>
      </c>
      <c r="B540" s="6" t="n">
        <v>-200.6</v>
      </c>
      <c r="C540" s="6" t="n">
        <v>-200.6</v>
      </c>
      <c r="D540" s="2" t="s">
        <v>299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45905</v>
      </c>
      <c r="B541" s="6" t="n">
        <v>-400</v>
      </c>
      <c r="C541" s="6" t="n">
        <v>-400</v>
      </c>
      <c r="D541" s="2" t="s">
        <v>391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45906</v>
      </c>
      <c r="B542" s="6" t="n">
        <v>-68.9</v>
      </c>
      <c r="C542" s="6" t="n">
        <v>-68.9</v>
      </c>
      <c r="D542" s="2" t="s">
        <v>521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2" t="n">
        <v>45910.920833333</v>
      </c>
      <c r="B543" s="5" t="n">
        <v>-932492.33</v>
      </c>
      <c r="C543" s="5" t="n">
        <v>-932492.33</v>
      </c>
      <c r="D543" s="15" t="s">
        <v>522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/>
      <c r="B544" s="9" t="s">
        <f>=XIRR(B2:B543,A2:A543)</f>
      </c>
      <c r="C544" s="9" t="s">
        <f>=XIRR(C2:C543,A2:A543)</f>
      </c>
      <c r="D544" s="2" t="s">
        <v>523</v>
      </c>
      <c r="E544" s="2"/>
      <c r="F544" s="2"/>
      <c r="G544" s="7"/>
      <c r="H544" s="2" t="s">
        <v>524</v>
      </c>
      <c r="I544" s="6" t="s">
        <f>=SUM(I2:I543)/365</f>
      </c>
    </row>
    <row collapsed="false" customFormat="false" customHeight="false" hidden="false" ht="12.1" outlineLevel="0" r="545">
      <c r="A545" s="14"/>
      <c r="B545" s="5" t="s">
        <f>=-SUM(B2:B543)</f>
      </c>
      <c r="C545" s="5" t="s">
        <f>=-SUM(C2:C543)</f>
      </c>
      <c r="D545" s="2" t="s">
        <v>525</v>
      </c>
      <c r="E545" s="2"/>
      <c r="F545" s="2"/>
      <c r="G545" s="7"/>
      <c r="H545" s="15" t="s">
        <v>526</v>
      </c>
      <c r="I545" s="9" t="s">
        <f>=B545/I544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1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118</v>
      </c>
      <c r="DY1" s="0"/>
      <c r="DZ1" s="0"/>
      <c r="EA1" s="4" t="s">
        <v>120</v>
      </c>
      <c r="EB1" s="0"/>
      <c r="EC1" s="0"/>
      <c r="ED1" s="4" t="s">
        <v>123</v>
      </c>
      <c r="EE1" s="0"/>
      <c r="EF1" s="0"/>
      <c r="EG1" s="4" t="s">
        <v>126</v>
      </c>
      <c r="EH1" s="0"/>
      <c r="EI1" s="0"/>
      <c r="EJ1" s="4" t="s">
        <v>128</v>
      </c>
      <c r="EK1" s="0"/>
      <c r="EL1" s="0"/>
      <c r="EM1" s="4" t="s">
        <v>131</v>
      </c>
      <c r="EN1" s="0"/>
      <c r="EO1" s="0"/>
      <c r="EP1" s="4" t="s">
        <v>133</v>
      </c>
      <c r="EQ1" s="0"/>
      <c r="ER1" s="0"/>
      <c r="ES1" s="4" t="s">
        <v>136</v>
      </c>
      <c r="ET1" s="0"/>
      <c r="EU1" s="0"/>
      <c r="EV1" s="4" t="s">
        <v>140</v>
      </c>
      <c r="EW1" s="0"/>
      <c r="EX1" s="0"/>
      <c r="EY1" s="4" t="s">
        <v>143</v>
      </c>
      <c r="EZ1" s="0"/>
      <c r="FA1" s="0"/>
      <c r="FB1" s="4" t="s">
        <v>146</v>
      </c>
      <c r="FC1" s="0"/>
      <c r="FD1" s="0"/>
      <c r="FE1" s="4" t="s">
        <v>149</v>
      </c>
      <c r="FF1" s="0"/>
      <c r="FG1" s="0"/>
      <c r="FH1" s="4" t="s">
        <v>152</v>
      </c>
      <c r="FI1" s="0"/>
      <c r="FJ1" s="0"/>
      <c r="FK1" s="4" t="s">
        <v>155</v>
      </c>
      <c r="FL1" s="0"/>
      <c r="FM1" s="0"/>
      <c r="FN1" s="4" t="s">
        <v>158</v>
      </c>
      <c r="FO1" s="0"/>
      <c r="FP1" s="0"/>
      <c r="FQ1" s="4" t="s">
        <v>161</v>
      </c>
      <c r="FR1" s="0"/>
      <c r="FS1" s="0"/>
      <c r="FT1" s="4" t="s">
        <v>164</v>
      </c>
      <c r="FU1" s="0"/>
      <c r="FV1" s="0"/>
      <c r="FW1" s="4" t="s">
        <v>167</v>
      </c>
      <c r="FX1" s="0"/>
      <c r="FY1" s="0"/>
      <c r="FZ1" s="4" t="s">
        <v>170</v>
      </c>
      <c r="GA1" s="0"/>
      <c r="GB1" s="0"/>
      <c r="GC1" s="4" t="s">
        <v>173</v>
      </c>
      <c r="GD1" s="0"/>
      <c r="GE1" s="0"/>
      <c r="GF1" s="4" t="s">
        <v>176</v>
      </c>
      <c r="GG1" s="0"/>
      <c r="GH1" s="0"/>
      <c r="GI1" s="4" t="s">
        <v>179</v>
      </c>
      <c r="GJ1" s="0"/>
      <c r="GK1" s="0"/>
      <c r="GL1" s="4" t="s">
        <v>182</v>
      </c>
      <c r="GM1" s="0"/>
      <c r="GN1" s="0"/>
      <c r="GO1" s="4" t="s">
        <v>185</v>
      </c>
      <c r="GP1" s="0"/>
      <c r="GQ1" s="0"/>
      <c r="GR1" s="4" t="s">
        <v>188</v>
      </c>
      <c r="GS1" s="0"/>
      <c r="GT1" s="0"/>
      <c r="GU1" s="4" t="s">
        <v>191</v>
      </c>
      <c r="GV1" s="0"/>
      <c r="GW1" s="0"/>
      <c r="GX1" s="4" t="s">
        <v>194</v>
      </c>
      <c r="GY1" s="0"/>
      <c r="GZ1" s="0"/>
      <c r="HA1" s="4" t="s">
        <v>197</v>
      </c>
      <c r="HB1" s="0"/>
      <c r="HC1" s="0"/>
      <c r="HD1" s="4" t="s">
        <v>200</v>
      </c>
      <c r="HE1" s="0"/>
      <c r="HF1" s="0"/>
      <c r="HG1" s="4" t="s">
        <v>203</v>
      </c>
      <c r="HH1" s="0"/>
      <c r="HI1" s="0"/>
      <c r="HJ1" s="4" t="s">
        <v>206</v>
      </c>
      <c r="HK1" s="0"/>
      <c r="HL1" s="0"/>
      <c r="HM1" s="4" t="s">
        <v>209</v>
      </c>
      <c r="HN1" s="0"/>
      <c r="HO1" s="0"/>
      <c r="HP1" s="4" t="s">
        <v>212</v>
      </c>
      <c r="HQ1" s="0"/>
      <c r="HR1" s="0"/>
      <c r="HS1" s="4" t="s">
        <v>215</v>
      </c>
      <c r="HT1" s="0"/>
      <c r="HU1" s="0"/>
      <c r="HV1" s="4" t="s">
        <v>218</v>
      </c>
      <c r="HW1" s="0"/>
      <c r="HX1" s="0"/>
      <c r="HY1" s="4" t="s">
        <v>221</v>
      </c>
      <c r="HZ1" s="0"/>
      <c r="IA1" s="0"/>
      <c r="IB1" s="4" t="s">
        <v>224</v>
      </c>
      <c r="IC1" s="0"/>
      <c r="ID1" s="0"/>
      <c r="IE1" s="4" t="s">
        <v>227</v>
      </c>
      <c r="IF1" s="0"/>
      <c r="IG1" s="0"/>
      <c r="IH1" s="4" t="s">
        <v>230</v>
      </c>
      <c r="II1" s="0"/>
      <c r="IJ1" s="0"/>
      <c r="IK1" s="4" t="s">
        <v>233</v>
      </c>
      <c r="IL1" s="0"/>
      <c r="IM1" s="0"/>
      <c r="IN1" s="4" t="s">
        <v>236</v>
      </c>
      <c r="IO1" s="0"/>
      <c r="IP1" s="0"/>
      <c r="IQ1" s="4" t="s">
        <v>239</v>
      </c>
      <c r="IR1" s="0"/>
      <c r="IS1" s="0"/>
      <c r="IT1" s="4" t="s">
        <v>242</v>
      </c>
      <c r="IU1" s="0"/>
    </row>
    <row collapsed="false" customFormat="false" customHeight="false" hidden="false" ht="12.1" outlineLevel="0" r="2">
      <c r="A2" s="11" t="n">
        <v>44644</v>
      </c>
      <c r="B2" s="6" t="n">
        <v>311.74</v>
      </c>
      <c r="C2" s="0" t="s">
        <v>527</v>
      </c>
      <c r="D2" s="11" t="n">
        <v>44937</v>
      </c>
      <c r="E2" s="6" t="n">
        <v>1461.87</v>
      </c>
      <c r="F2" s="0" t="s">
        <v>527</v>
      </c>
      <c r="G2" s="11" t="n">
        <v>45527</v>
      </c>
      <c r="H2" s="6" t="n">
        <v>3241.62</v>
      </c>
      <c r="I2" s="0" t="s">
        <v>527</v>
      </c>
      <c r="J2" s="11" t="n">
        <v>45495</v>
      </c>
      <c r="K2" s="6" t="n">
        <v>3116.5</v>
      </c>
      <c r="L2" s="0" t="s">
        <v>527</v>
      </c>
      <c r="M2" s="11" t="n">
        <v>45474</v>
      </c>
      <c r="N2" s="6" t="n">
        <v>6424.64</v>
      </c>
      <c r="O2" s="0" t="s">
        <v>527</v>
      </c>
      <c r="P2" s="11" t="n">
        <v>44672</v>
      </c>
      <c r="Q2" s="6" t="n">
        <v>3990.89</v>
      </c>
      <c r="R2" s="0" t="s">
        <v>527</v>
      </c>
      <c r="S2" s="11" t="n">
        <v>45607</v>
      </c>
      <c r="T2" s="6" t="n">
        <v>5626.5</v>
      </c>
      <c r="U2" s="0" t="s">
        <v>527</v>
      </c>
      <c r="V2" s="11" t="n">
        <v>44776</v>
      </c>
      <c r="W2" s="6" t="n">
        <v>383.93</v>
      </c>
      <c r="X2" s="0" t="s">
        <v>527</v>
      </c>
      <c r="Y2" s="11" t="n">
        <v>45348</v>
      </c>
      <c r="Z2" s="6" t="n">
        <v>6705.36</v>
      </c>
      <c r="AA2" s="0" t="s">
        <v>527</v>
      </c>
      <c r="AB2" s="11" t="n">
        <v>45323</v>
      </c>
      <c r="AC2" s="6" t="n">
        <v>1718.98</v>
      </c>
      <c r="AD2" s="0" t="s">
        <v>527</v>
      </c>
      <c r="AE2" s="11" t="n">
        <v>45418</v>
      </c>
      <c r="AF2" s="6" t="n">
        <v>3568.85</v>
      </c>
      <c r="AG2" s="0" t="s">
        <v>527</v>
      </c>
      <c r="AH2" s="11" t="n">
        <v>44700</v>
      </c>
      <c r="AI2" s="6" t="n">
        <v>3642.18</v>
      </c>
      <c r="AJ2" s="0" t="s">
        <v>527</v>
      </c>
      <c r="AK2" s="11" t="n">
        <v>45446</v>
      </c>
      <c r="AL2" s="6" t="n">
        <v>2629.6</v>
      </c>
      <c r="AM2" s="0" t="s">
        <v>527</v>
      </c>
      <c r="AN2" s="11" t="n">
        <v>45287</v>
      </c>
      <c r="AO2" s="6" t="n">
        <v>1361.08</v>
      </c>
      <c r="AP2" s="0" t="s">
        <v>527</v>
      </c>
      <c r="AQ2" s="11" t="n">
        <v>44644</v>
      </c>
      <c r="AR2" s="6" t="n">
        <v>1151.4</v>
      </c>
      <c r="AS2" s="0" t="s">
        <v>527</v>
      </c>
      <c r="AT2" s="11" t="n">
        <v>45483</v>
      </c>
      <c r="AU2" s="6" t="n">
        <v>3021.91</v>
      </c>
      <c r="AV2" s="0" t="s">
        <v>527</v>
      </c>
      <c r="AW2" s="11" t="n">
        <v>45442</v>
      </c>
      <c r="AX2" s="6" t="n">
        <v>4922.15</v>
      </c>
      <c r="AY2" s="0" t="s">
        <v>527</v>
      </c>
      <c r="AZ2" s="11" t="n">
        <v>45490</v>
      </c>
      <c r="BA2" s="6" t="n">
        <v>2877.31</v>
      </c>
      <c r="BB2" s="0" t="s">
        <v>527</v>
      </c>
      <c r="BC2" s="11" t="n">
        <v>45474</v>
      </c>
      <c r="BD2" s="6" t="n">
        <v>1777.83</v>
      </c>
      <c r="BE2" s="0" t="s">
        <v>527</v>
      </c>
      <c r="BF2" s="11" t="n">
        <v>44791</v>
      </c>
      <c r="BG2" s="6" t="n">
        <v>596.86</v>
      </c>
      <c r="BH2" s="0" t="s">
        <v>527</v>
      </c>
      <c r="BI2" s="11" t="n">
        <v>44659</v>
      </c>
      <c r="BJ2" s="6" t="n">
        <v>853.42</v>
      </c>
      <c r="BK2" s="0" t="s">
        <v>527</v>
      </c>
      <c r="BL2" s="11" t="n">
        <v>44644</v>
      </c>
      <c r="BM2" s="6" t="n">
        <v>927.55</v>
      </c>
      <c r="BN2" s="0" t="s">
        <v>527</v>
      </c>
      <c r="BO2" s="11" t="n">
        <v>45454</v>
      </c>
      <c r="BP2" s="6" t="n">
        <v>1495.45</v>
      </c>
      <c r="BQ2" s="0" t="s">
        <v>527</v>
      </c>
      <c r="BR2" s="11" t="n">
        <v>44707</v>
      </c>
      <c r="BS2" s="6" t="n">
        <v>1235.74</v>
      </c>
      <c r="BT2" s="0" t="s">
        <v>527</v>
      </c>
      <c r="BU2" s="11" t="n">
        <v>45272</v>
      </c>
      <c r="BV2" s="6" t="n">
        <v>1403.52</v>
      </c>
      <c r="BW2" s="0" t="s">
        <v>527</v>
      </c>
      <c r="BX2" s="11" t="n">
        <v>44673</v>
      </c>
      <c r="BY2" s="6" t="n">
        <v>2072.85</v>
      </c>
      <c r="BZ2" s="0" t="s">
        <v>527</v>
      </c>
      <c r="CA2" s="11" t="n">
        <v>44672</v>
      </c>
      <c r="CB2" s="6" t="n">
        <v>890.54</v>
      </c>
      <c r="CC2" s="0" t="s">
        <v>527</v>
      </c>
      <c r="CD2" s="11" t="n">
        <v>44649</v>
      </c>
      <c r="CE2" s="6" t="n">
        <v>193.12</v>
      </c>
      <c r="CF2" s="0" t="s">
        <v>527</v>
      </c>
      <c r="CG2" s="11" t="n">
        <v>45401</v>
      </c>
      <c r="CH2" s="6" t="n">
        <v>1665.83</v>
      </c>
      <c r="CI2" s="0" t="s">
        <v>527</v>
      </c>
      <c r="CJ2" s="11" t="n">
        <v>45380</v>
      </c>
      <c r="CK2" s="6" t="n">
        <v>4377.19</v>
      </c>
      <c r="CL2" s="0" t="s">
        <v>527</v>
      </c>
      <c r="CM2" s="11" t="n">
        <v>45532</v>
      </c>
      <c r="CN2" s="6" t="n">
        <v>1137.11</v>
      </c>
      <c r="CO2" s="0" t="s">
        <v>527</v>
      </c>
      <c r="CP2" s="11" t="n">
        <v>45530</v>
      </c>
      <c r="CQ2" s="6" t="n">
        <v>1243.79</v>
      </c>
      <c r="CR2" s="0" t="s">
        <v>527</v>
      </c>
      <c r="CS2" s="11" t="n">
        <v>44715</v>
      </c>
      <c r="CT2" s="6" t="n">
        <v>814.29</v>
      </c>
      <c r="CU2" s="0" t="s">
        <v>527</v>
      </c>
      <c r="CV2" s="11" t="n">
        <v>44714</v>
      </c>
      <c r="CW2" s="6" t="n">
        <v>929.95</v>
      </c>
      <c r="CX2" s="0" t="s">
        <v>527</v>
      </c>
      <c r="CY2" s="11" t="n">
        <v>44734</v>
      </c>
      <c r="CZ2" s="6" t="n">
        <v>440.07</v>
      </c>
      <c r="DA2" s="0" t="s">
        <v>527</v>
      </c>
      <c r="DB2" s="11" t="n">
        <v>44873</v>
      </c>
      <c r="DC2" s="6" t="n">
        <v>498.25</v>
      </c>
      <c r="DD2" s="0" t="s">
        <v>527</v>
      </c>
      <c r="DE2" s="11" t="n">
        <v>44740</v>
      </c>
      <c r="DF2" s="6" t="n">
        <v>795.08</v>
      </c>
      <c r="DG2" s="0" t="s">
        <v>527</v>
      </c>
      <c r="DH2" s="11" t="n">
        <v>44645</v>
      </c>
      <c r="DI2" s="6" t="n">
        <v>667.15</v>
      </c>
      <c r="DJ2" s="0" t="s">
        <v>527</v>
      </c>
      <c r="DK2" s="11" t="n">
        <v>44670</v>
      </c>
      <c r="DL2" s="6" t="n">
        <v>767.05</v>
      </c>
      <c r="DM2" s="0" t="s">
        <v>527</v>
      </c>
      <c r="DN2" s="11" t="n">
        <v>45506</v>
      </c>
      <c r="DO2" s="6" t="n">
        <v>456.31</v>
      </c>
      <c r="DP2" s="0" t="s">
        <v>527</v>
      </c>
      <c r="DQ2" s="11" t="n">
        <v>44746</v>
      </c>
      <c r="DR2" s="6" t="n">
        <v>320.19</v>
      </c>
      <c r="DS2" s="0" t="s">
        <v>527</v>
      </c>
      <c r="DT2" s="11" t="n">
        <v>44648</v>
      </c>
      <c r="DU2" s="6" t="n">
        <v>75.6</v>
      </c>
      <c r="DV2" s="0" t="s">
        <v>527</v>
      </c>
      <c r="DW2" s="11" t="n">
        <v>44795</v>
      </c>
      <c r="DX2" s="6" t="n">
        <v>446.07</v>
      </c>
      <c r="DY2" s="0" t="s">
        <v>527</v>
      </c>
      <c r="DZ2" s="11" t="n">
        <v>44806</v>
      </c>
      <c r="EA2" s="6" t="n">
        <v>720.53</v>
      </c>
      <c r="EB2" s="0" t="s">
        <v>527</v>
      </c>
      <c r="EC2" s="11" t="n">
        <v>45324</v>
      </c>
      <c r="ED2" s="6" t="n">
        <v>94285</v>
      </c>
      <c r="EE2" s="0" t="s">
        <v>527</v>
      </c>
      <c r="EF2" s="11" t="n">
        <v>45321</v>
      </c>
      <c r="EG2" s="6" t="n">
        <v>13964.19</v>
      </c>
      <c r="EH2" s="0" t="s">
        <v>527</v>
      </c>
      <c r="EI2" s="11" t="n">
        <v>44657</v>
      </c>
      <c r="EJ2" s="6" t="n">
        <v>122.41</v>
      </c>
      <c r="EK2" s="0" t="s">
        <v>527</v>
      </c>
      <c r="EL2" s="11" t="n">
        <v>44651</v>
      </c>
      <c r="EM2" s="6" t="n">
        <v>99.97</v>
      </c>
      <c r="EN2" s="0" t="s">
        <v>527</v>
      </c>
      <c r="EO2" s="11" t="n">
        <v>44655</v>
      </c>
      <c r="EP2" s="6" t="n">
        <v>1801.92</v>
      </c>
      <c r="EQ2" s="0" t="s">
        <v>527</v>
      </c>
      <c r="ER2" s="11" t="n">
        <v>45369</v>
      </c>
      <c r="ES2" s="6" t="s">
        <f>=6285.66</f>
      </c>
      <c r="ET2" s="0" t="s">
        <v>527</v>
      </c>
      <c r="EU2" s="11" t="n">
        <v>45369</v>
      </c>
      <c r="EV2" s="6" t="s">
        <f>=6515.97</f>
      </c>
      <c r="EW2" s="0" t="s">
        <v>527</v>
      </c>
      <c r="EX2" s="11" t="n">
        <v>45509</v>
      </c>
      <c r="EY2" s="6" t="s">
        <f>=33041.43</f>
      </c>
      <c r="EZ2" s="0" t="s">
        <v>527</v>
      </c>
      <c r="FA2" s="11" t="n">
        <v>45369</v>
      </c>
      <c r="FB2" s="6" t="s">
        <f>=9535.31</f>
      </c>
      <c r="FC2" s="0" t="s">
        <v>527</v>
      </c>
      <c r="FD2" s="11" t="n">
        <v>45379</v>
      </c>
      <c r="FE2" s="6" t="s">
        <f>=7727.6</f>
      </c>
      <c r="FF2" s="0" t="s">
        <v>527</v>
      </c>
      <c r="FG2" s="11" t="n">
        <v>45551</v>
      </c>
      <c r="FH2" s="6" t="s">
        <f>=17071.5</f>
      </c>
      <c r="FI2" s="0" t="s">
        <v>527</v>
      </c>
      <c r="FJ2" s="11" t="n">
        <v>45280</v>
      </c>
      <c r="FK2" s="6" t="s">
        <f>=2951.07</f>
      </c>
      <c r="FL2" s="0" t="s">
        <v>527</v>
      </c>
      <c r="FM2" s="11" t="n">
        <v>45307</v>
      </c>
      <c r="FN2" s="6" t="s">
        <f>=4174.34</f>
      </c>
      <c r="FO2" s="0" t="s">
        <v>527</v>
      </c>
      <c r="FP2" s="11" t="n">
        <v>45551</v>
      </c>
      <c r="FQ2" s="6" t="s">
        <f>=14846.15</f>
      </c>
      <c r="FR2" s="0" t="s">
        <v>527</v>
      </c>
      <c r="FS2" s="11" t="n">
        <v>45551</v>
      </c>
      <c r="FT2" s="6" t="s">
        <f>=17048.48</f>
      </c>
      <c r="FU2" s="0" t="s">
        <v>527</v>
      </c>
      <c r="FV2" s="11" t="n">
        <v>45551</v>
      </c>
      <c r="FW2" s="6" t="s">
        <f>=16988.44</f>
      </c>
      <c r="FX2" s="0" t="s">
        <v>527</v>
      </c>
      <c r="FY2" s="11" t="n">
        <v>45365</v>
      </c>
      <c r="FZ2" s="6" t="s">
        <f>=9631.88</f>
      </c>
      <c r="GA2" s="0" t="s">
        <v>527</v>
      </c>
      <c r="GB2" s="11" t="n">
        <v>45391</v>
      </c>
      <c r="GC2" s="6" t="s">
        <f>=5379.14</f>
      </c>
      <c r="GD2" s="0" t="s">
        <v>527</v>
      </c>
      <c r="GE2" s="11" t="n">
        <v>45327</v>
      </c>
      <c r="GF2" s="6" t="s">
        <f>=9441.04</f>
      </c>
      <c r="GG2" s="0" t="s">
        <v>527</v>
      </c>
      <c r="GH2" s="11" t="n">
        <v>45327</v>
      </c>
      <c r="GI2" s="6" t="s">
        <f>=9286.53</f>
      </c>
      <c r="GJ2" s="0" t="s">
        <v>527</v>
      </c>
      <c r="GK2" s="11" t="n">
        <v>45391</v>
      </c>
      <c r="GL2" s="6" t="s">
        <f>=5245.04</f>
      </c>
      <c r="GM2" s="0" t="s">
        <v>527</v>
      </c>
      <c r="GN2" s="11" t="n">
        <v>45509</v>
      </c>
      <c r="GO2" s="6" t="s">
        <f>=7356.81</f>
      </c>
      <c r="GP2" s="0" t="s">
        <v>527</v>
      </c>
      <c r="GQ2" s="11" t="n">
        <v>45273</v>
      </c>
      <c r="GR2" s="6" t="s">
        <f>=957.93</f>
      </c>
      <c r="GS2" s="0" t="s">
        <v>527</v>
      </c>
      <c r="GT2" s="11" t="n">
        <v>45604</v>
      </c>
      <c r="GU2" s="6" t="s">
        <f>=4631.77</f>
      </c>
      <c r="GV2" s="0" t="s">
        <v>527</v>
      </c>
      <c r="GW2" s="11" t="n">
        <v>45308</v>
      </c>
      <c r="GX2" s="6" t="s">
        <f>=5094.78</f>
      </c>
      <c r="GY2" s="0" t="s">
        <v>527</v>
      </c>
      <c r="GZ2" s="11" t="n">
        <v>45307</v>
      </c>
      <c r="HA2" s="6" t="s">
        <f>=4654.22</f>
      </c>
      <c r="HB2" s="0" t="s">
        <v>527</v>
      </c>
      <c r="HC2" s="11" t="n">
        <v>45495</v>
      </c>
      <c r="HD2" s="6" t="s">
        <f>=4205.91</f>
      </c>
      <c r="HE2" s="0" t="s">
        <v>527</v>
      </c>
      <c r="HF2" s="11" t="n">
        <v>45307</v>
      </c>
      <c r="HG2" s="6" t="s">
        <f>=2002.26</f>
      </c>
      <c r="HH2" s="0" t="s">
        <v>527</v>
      </c>
      <c r="HI2" s="11" t="n">
        <v>45321</v>
      </c>
      <c r="HJ2" s="6" t="s">
        <f>=2710.37</f>
      </c>
      <c r="HK2" s="0" t="s">
        <v>527</v>
      </c>
      <c r="HL2" s="11" t="n">
        <v>45287</v>
      </c>
      <c r="HM2" s="6" t="s">
        <f>=1997.06</f>
      </c>
      <c r="HN2" s="0" t="s">
        <v>527</v>
      </c>
      <c r="HO2" s="11" t="n">
        <v>45307</v>
      </c>
      <c r="HP2" s="6" t="s">
        <f>=1910.39</f>
      </c>
      <c r="HQ2" s="0" t="s">
        <v>527</v>
      </c>
      <c r="HR2" s="11" t="n">
        <v>45273</v>
      </c>
      <c r="HS2" s="6" t="s">
        <f>=4872.85</f>
      </c>
      <c r="HT2" s="0" t="s">
        <v>527</v>
      </c>
      <c r="HU2" s="11" t="n">
        <v>45321</v>
      </c>
      <c r="HV2" s="6" t="s">
        <f>=2803.7</f>
      </c>
      <c r="HW2" s="0" t="s">
        <v>527</v>
      </c>
      <c r="HX2" s="11" t="n">
        <v>45324</v>
      </c>
      <c r="HY2" s="6" t="s">
        <f>=6246.58</f>
      </c>
      <c r="HZ2" s="0" t="s">
        <v>527</v>
      </c>
      <c r="IA2" s="11" t="n">
        <v>45287</v>
      </c>
      <c r="IB2" s="6" t="s">
        <f>=1968.35</f>
      </c>
      <c r="IC2" s="0" t="s">
        <v>527</v>
      </c>
      <c r="ID2" s="11" t="n">
        <v>45307</v>
      </c>
      <c r="IE2" s="6" t="s">
        <f>=2094.42</f>
      </c>
      <c r="IF2" s="0" t="s">
        <v>527</v>
      </c>
      <c r="IG2" s="11" t="n">
        <v>45273</v>
      </c>
      <c r="IH2" s="6" t="s">
        <f>=1985.78</f>
      </c>
      <c r="II2" s="0" t="s">
        <v>527</v>
      </c>
      <c r="IJ2" s="11" t="n">
        <v>45488</v>
      </c>
      <c r="IK2" s="6" t="s">
        <f>=6040.4</f>
      </c>
      <c r="IL2" s="0" t="s">
        <v>527</v>
      </c>
      <c r="IM2" s="11" t="n">
        <v>44960</v>
      </c>
      <c r="IN2" s="6" t="s">
        <f>=937.71</f>
      </c>
      <c r="IO2" s="0" t="s">
        <v>527</v>
      </c>
      <c r="IP2" s="11" t="n">
        <v>45307</v>
      </c>
      <c r="IQ2" s="6" t="s">
        <f>=1960.69</f>
      </c>
      <c r="IR2" s="0" t="s">
        <v>527</v>
      </c>
      <c r="IS2" s="11" t="n">
        <v>45348</v>
      </c>
      <c r="IT2" s="6" t="s">
        <f>=724.33</f>
      </c>
      <c r="IU2" s="0" t="s">
        <v>527</v>
      </c>
    </row>
    <row collapsed="false" customFormat="false" customHeight="false" hidden="false" ht="12.1" outlineLevel="0" r="3">
      <c r="A3" s="11" t="n">
        <v>44753</v>
      </c>
      <c r="B3" s="6" t="n">
        <v>-20.63</v>
      </c>
      <c r="C3" s="0" t="s">
        <v>260</v>
      </c>
      <c r="D3" s="11" t="n">
        <v>45002</v>
      </c>
      <c r="E3" s="6" t="n">
        <v>-1812.25</v>
      </c>
      <c r="F3" s="0" t="s">
        <v>528</v>
      </c>
      <c r="G3" s="11" t="n">
        <v>45603</v>
      </c>
      <c r="H3" s="6" t="n">
        <v>4255.9</v>
      </c>
      <c r="I3" s="0" t="s">
        <v>527</v>
      </c>
      <c r="J3" s="11" t="n">
        <v>45509</v>
      </c>
      <c r="K3" s="6" t="n">
        <v>4260.4</v>
      </c>
      <c r="L3" s="0" t="s">
        <v>527</v>
      </c>
      <c r="M3" s="11" t="n">
        <v>45488</v>
      </c>
      <c r="N3" s="6" t="n">
        <v>-358.13</v>
      </c>
      <c r="O3" s="0" t="s">
        <v>338</v>
      </c>
      <c r="P3" s="11" t="n">
        <v>44673</v>
      </c>
      <c r="Q3" s="6" t="n">
        <v>3802.28</v>
      </c>
      <c r="R3" s="0" t="s">
        <v>527</v>
      </c>
      <c r="S3" s="11" t="n">
        <v>45972</v>
      </c>
      <c r="T3" s="8" t="s">
        <f>=-Портфель!J8</f>
      </c>
      <c r="U3" s="0" t="s">
        <v>529</v>
      </c>
      <c r="V3" s="11" t="n">
        <v>44866</v>
      </c>
      <c r="W3" s="6" t="n">
        <v>-434.1</v>
      </c>
      <c r="X3" s="0" t="s">
        <v>528</v>
      </c>
      <c r="Y3" s="11" t="n">
        <v>45377</v>
      </c>
      <c r="Z3" s="6" t="n">
        <v>-191.45</v>
      </c>
      <c r="AA3" s="0" t="s">
        <v>307</v>
      </c>
      <c r="AB3" s="11" t="n">
        <v>45491</v>
      </c>
      <c r="AC3" s="6" t="n">
        <v>3003.4</v>
      </c>
      <c r="AD3" s="0" t="s">
        <v>527</v>
      </c>
      <c r="AE3" s="11" t="n">
        <v>45454</v>
      </c>
      <c r="AF3" s="6" t="n">
        <v>2888.81</v>
      </c>
      <c r="AG3" s="0" t="s">
        <v>527</v>
      </c>
      <c r="AH3" s="11" t="n">
        <v>44762</v>
      </c>
      <c r="AI3" s="6" t="n">
        <v>-412</v>
      </c>
      <c r="AJ3" s="0" t="s">
        <v>261</v>
      </c>
      <c r="AK3" s="11" t="n">
        <v>45537</v>
      </c>
      <c r="AL3" s="6" t="n">
        <v>1789.13</v>
      </c>
      <c r="AM3" s="0" t="s">
        <v>527</v>
      </c>
      <c r="AN3" s="11" t="n">
        <v>45910</v>
      </c>
      <c r="AO3" s="8" t="s">
        <f>=-Портфель!J15</f>
      </c>
      <c r="AP3" s="0" t="s">
        <v>529</v>
      </c>
      <c r="AQ3" s="11" t="n">
        <v>44670</v>
      </c>
      <c r="AR3" s="6" t="n">
        <v>1182.11</v>
      </c>
      <c r="AS3" s="0" t="s">
        <v>527</v>
      </c>
      <c r="AT3" s="11" t="n">
        <v>45910</v>
      </c>
      <c r="AU3" s="8" t="s">
        <f>=-Портфель!J17</f>
      </c>
      <c r="AV3" s="0" t="s">
        <v>529</v>
      </c>
      <c r="AW3" s="11" t="n">
        <v>45484</v>
      </c>
      <c r="AX3" s="6" t="n">
        <v>-34.6</v>
      </c>
      <c r="AY3" s="0" t="s">
        <v>336</v>
      </c>
      <c r="AZ3" s="11" t="n">
        <v>45491</v>
      </c>
      <c r="BA3" s="6" t="n">
        <v>-308.4</v>
      </c>
      <c r="BB3" s="0" t="s">
        <v>341</v>
      </c>
      <c r="BC3" s="11" t="n">
        <v>45484</v>
      </c>
      <c r="BD3" s="6" t="n">
        <v>1664.33</v>
      </c>
      <c r="BE3" s="0" t="s">
        <v>527</v>
      </c>
      <c r="BF3" s="11" t="n">
        <v>44792</v>
      </c>
      <c r="BG3" s="6" t="n">
        <v>-614.12</v>
      </c>
      <c r="BH3" s="0" t="s">
        <v>528</v>
      </c>
      <c r="BI3" s="11" t="n">
        <v>44727</v>
      </c>
      <c r="BJ3" s="6" t="n">
        <v>664.9</v>
      </c>
      <c r="BK3" s="0" t="s">
        <v>527</v>
      </c>
      <c r="BL3" s="11" t="n">
        <v>45093</v>
      </c>
      <c r="BM3" s="6" t="n">
        <v>-42.4</v>
      </c>
      <c r="BN3" s="0" t="s">
        <v>272</v>
      </c>
      <c r="BO3" s="11" t="n">
        <v>45491</v>
      </c>
      <c r="BP3" s="6" t="n">
        <v>1248.19</v>
      </c>
      <c r="BQ3" s="0" t="s">
        <v>527</v>
      </c>
      <c r="BR3" s="11" t="n">
        <v>44726</v>
      </c>
      <c r="BS3" s="6" t="n">
        <v>-1517.09</v>
      </c>
      <c r="BT3" s="0" t="s">
        <v>528</v>
      </c>
      <c r="BU3" s="11" t="n">
        <v>45562</v>
      </c>
      <c r="BV3" s="6" t="n">
        <v>-105.2</v>
      </c>
      <c r="BW3" s="0" t="s">
        <v>373</v>
      </c>
      <c r="BX3" s="11" t="n">
        <v>44845</v>
      </c>
      <c r="BY3" s="6" t="n">
        <v>-444.3</v>
      </c>
      <c r="BZ3" s="0" t="s">
        <v>263</v>
      </c>
      <c r="CA3" s="11" t="n">
        <v>44689</v>
      </c>
      <c r="CB3" s="6" t="n">
        <v>-12.4</v>
      </c>
      <c r="CC3" s="0" t="s">
        <v>258</v>
      </c>
      <c r="CD3" s="11" t="n">
        <v>44722</v>
      </c>
      <c r="CE3" s="6" t="n">
        <v>-20.66</v>
      </c>
      <c r="CF3" s="0" t="s">
        <v>259</v>
      </c>
      <c r="CG3" s="11" t="n">
        <v>45482</v>
      </c>
      <c r="CH3" s="6" t="n">
        <v>-20.67</v>
      </c>
      <c r="CI3" s="0" t="s">
        <v>335</v>
      </c>
      <c r="CJ3" s="11" t="n">
        <v>45380</v>
      </c>
      <c r="CK3" s="6" t="n">
        <v>-4966.02</v>
      </c>
      <c r="CL3" s="0" t="s">
        <v>528</v>
      </c>
      <c r="CM3" s="11" t="n">
        <v>45910</v>
      </c>
      <c r="CN3" s="8" t="s">
        <f>=-Портфель!J32</f>
      </c>
      <c r="CO3" s="0" t="s">
        <v>529</v>
      </c>
      <c r="CP3" s="11" t="n">
        <v>45649</v>
      </c>
      <c r="CQ3" s="6" t="n">
        <v>-197.6</v>
      </c>
      <c r="CR3" s="0" t="s">
        <v>420</v>
      </c>
      <c r="CS3" s="11" t="n">
        <v>45461</v>
      </c>
      <c r="CT3" s="6" t="n">
        <v>-166.51</v>
      </c>
      <c r="CU3" s="0" t="s">
        <v>330</v>
      </c>
      <c r="CV3" s="11" t="n">
        <v>44761</v>
      </c>
      <c r="CW3" s="6" t="n">
        <v>-1028.39</v>
      </c>
      <c r="CX3" s="0" t="s">
        <v>528</v>
      </c>
      <c r="CY3" s="11" t="n">
        <v>44798</v>
      </c>
      <c r="CZ3" s="6" t="n">
        <v>466.28</v>
      </c>
      <c r="DA3" s="0" t="s">
        <v>527</v>
      </c>
      <c r="DB3" s="11" t="n">
        <v>45114</v>
      </c>
      <c r="DC3" s="6" t="n">
        <v>-68</v>
      </c>
      <c r="DD3" s="0" t="s">
        <v>273</v>
      </c>
      <c r="DE3" s="11" t="n">
        <v>45910</v>
      </c>
      <c r="DF3" s="8" t="s">
        <f>=-Портфель!J38</f>
      </c>
      <c r="DG3" s="0" t="s">
        <v>529</v>
      </c>
      <c r="DH3" s="11" t="n">
        <v>44820</v>
      </c>
      <c r="DI3" s="6" t="n">
        <v>480.24</v>
      </c>
      <c r="DJ3" s="0" t="s">
        <v>527</v>
      </c>
      <c r="DK3" s="11" t="n">
        <v>45910</v>
      </c>
      <c r="DL3" s="8" t="s">
        <f>=-Портфель!J40</f>
      </c>
      <c r="DM3" s="0" t="s">
        <v>529</v>
      </c>
      <c r="DN3" s="11" t="n">
        <v>45517</v>
      </c>
      <c r="DO3" s="6" t="n">
        <v>-527.7</v>
      </c>
      <c r="DP3" s="0" t="s">
        <v>528</v>
      </c>
      <c r="DQ3" s="11" t="n">
        <v>45453</v>
      </c>
      <c r="DR3" s="6" t="n">
        <v>-23.52</v>
      </c>
      <c r="DS3" s="0" t="s">
        <v>324</v>
      </c>
      <c r="DT3" s="11" t="n">
        <v>44960</v>
      </c>
      <c r="DU3" s="6" t="n">
        <v>242.21</v>
      </c>
      <c r="DV3" s="0" t="s">
        <v>527</v>
      </c>
      <c r="DW3" s="11" t="n">
        <v>44797</v>
      </c>
      <c r="DX3" s="6" t="n">
        <v>-457.53</v>
      </c>
      <c r="DY3" s="0" t="s">
        <v>528</v>
      </c>
      <c r="DZ3" s="11" t="n">
        <v>45910</v>
      </c>
      <c r="EA3" s="8" t="s">
        <f>=-Портфель!J45</f>
      </c>
      <c r="EB3" s="0" t="s">
        <v>529</v>
      </c>
      <c r="EC3" s="11" t="n">
        <v>45418</v>
      </c>
      <c r="ED3" s="6" t="n">
        <v>13674.8844</v>
      </c>
      <c r="EE3" s="0" t="s">
        <v>527</v>
      </c>
      <c r="EF3" s="11" t="n">
        <v>45327</v>
      </c>
      <c r="EG3" s="6" t="n">
        <v>6989.09</v>
      </c>
      <c r="EH3" s="0" t="s">
        <v>527</v>
      </c>
      <c r="EI3" s="11" t="n">
        <v>44658</v>
      </c>
      <c r="EJ3" s="6" t="n">
        <v>82.96</v>
      </c>
      <c r="EK3" s="0" t="s">
        <v>527</v>
      </c>
      <c r="EL3" s="11" t="n">
        <v>44666</v>
      </c>
      <c r="EM3" s="6" t="n">
        <v>95.47</v>
      </c>
      <c r="EN3" s="0" t="s">
        <v>527</v>
      </c>
      <c r="EO3" s="11" t="n">
        <v>44658</v>
      </c>
      <c r="EP3" s="6" t="n">
        <v>-1015.74</v>
      </c>
      <c r="EQ3" s="0" t="s">
        <v>528</v>
      </c>
      <c r="ER3" s="11" t="n">
        <v>45429</v>
      </c>
      <c r="ES3" s="6" t="s">
        <f>=10350.01</f>
      </c>
      <c r="ET3" s="0" t="s">
        <v>527</v>
      </c>
      <c r="EU3" s="11" t="n">
        <v>45429</v>
      </c>
      <c r="EV3" s="6" t="s">
        <f>=12555.13</f>
      </c>
      <c r="EW3" s="0" t="s">
        <v>527</v>
      </c>
      <c r="EX3" s="11" t="n">
        <v>45560</v>
      </c>
      <c r="EY3" s="6" t="s">
        <f>=2111.98</f>
      </c>
      <c r="EZ3" s="0" t="s">
        <v>527</v>
      </c>
      <c r="FA3" s="11" t="n">
        <v>45378</v>
      </c>
      <c r="FB3" s="6" t="s">
        <f>=-412.7</f>
      </c>
      <c r="FC3" s="0" t="s">
        <v>308</v>
      </c>
      <c r="FD3" s="11" t="n">
        <v>45385</v>
      </c>
      <c r="FE3" s="6" t="s">
        <f>=-333.9</f>
      </c>
      <c r="FF3" s="0" t="s">
        <v>311</v>
      </c>
      <c r="FG3" s="11" t="n">
        <v>45560</v>
      </c>
      <c r="FH3" s="6" t="s">
        <f>=-760.6</f>
      </c>
      <c r="FI3" s="0" t="s">
        <v>371</v>
      </c>
      <c r="FJ3" s="11" t="n">
        <v>45290</v>
      </c>
      <c r="FK3" s="6" t="s">
        <f>=-29.54</f>
      </c>
      <c r="FL3" s="0" t="s">
        <v>283</v>
      </c>
      <c r="FM3" s="11" t="n">
        <v>45327</v>
      </c>
      <c r="FN3" s="6" t="s">
        <f>=4195.66</f>
      </c>
      <c r="FO3" s="0" t="s">
        <v>527</v>
      </c>
      <c r="FP3" s="11" t="n">
        <v>45573</v>
      </c>
      <c r="FQ3" s="6" t="s">
        <f>=10033.89</f>
      </c>
      <c r="FR3" s="0" t="s">
        <v>527</v>
      </c>
      <c r="FS3" s="11" t="n">
        <v>45623</v>
      </c>
      <c r="FT3" s="6" t="s">
        <f>=-1144.6</f>
      </c>
      <c r="FU3" s="0" t="s">
        <v>398</v>
      </c>
      <c r="FV3" s="11" t="n">
        <v>45630</v>
      </c>
      <c r="FW3" s="6" t="s">
        <f>=-1185.6</f>
      </c>
      <c r="FX3" s="0" t="s">
        <v>406</v>
      </c>
      <c r="FY3" s="11" t="n">
        <v>45434</v>
      </c>
      <c r="FZ3" s="6" t="s">
        <f>=-279.6</f>
      </c>
      <c r="GA3" s="0" t="s">
        <v>320</v>
      </c>
      <c r="GB3" s="11" t="n">
        <v>45457</v>
      </c>
      <c r="GC3" s="6" t="s">
        <f>=-108.81</f>
      </c>
      <c r="GD3" s="0" t="s">
        <v>329</v>
      </c>
      <c r="GE3" s="11" t="n">
        <v>45341</v>
      </c>
      <c r="GF3" s="6" t="s">
        <f>=4713.4</f>
      </c>
      <c r="GG3" s="0" t="s">
        <v>527</v>
      </c>
      <c r="GH3" s="11" t="n">
        <v>45427</v>
      </c>
      <c r="GI3" s="6" t="s">
        <f>=-310.5</f>
      </c>
      <c r="GJ3" s="0" t="s">
        <v>318</v>
      </c>
      <c r="GK3" s="11" t="n">
        <v>45407</v>
      </c>
      <c r="GL3" s="6" t="s">
        <f>=-102.81</f>
      </c>
      <c r="GM3" s="0" t="s">
        <v>314</v>
      </c>
      <c r="GN3" s="11" t="n">
        <v>45616</v>
      </c>
      <c r="GO3" s="6" t="s">
        <f>=-247.2</f>
      </c>
      <c r="GP3" s="0" t="s">
        <v>396</v>
      </c>
      <c r="GQ3" s="11" t="n">
        <v>45297</v>
      </c>
      <c r="GR3" s="6" t="s">
        <f>=-10.26</f>
      </c>
      <c r="GS3" s="0" t="s">
        <v>284</v>
      </c>
      <c r="GT3" s="11" t="n">
        <v>45688</v>
      </c>
      <c r="GU3" s="6" t="s">
        <f>=-173.45</f>
      </c>
      <c r="GV3" s="0" t="s">
        <v>431</v>
      </c>
      <c r="GW3" s="11" t="n">
        <v>45336</v>
      </c>
      <c r="GX3" s="6" t="s">
        <f>=-56.75</f>
      </c>
      <c r="GY3" s="0" t="s">
        <v>291</v>
      </c>
      <c r="GZ3" s="11" t="n">
        <v>45348</v>
      </c>
      <c r="HA3" s="6" t="s">
        <f>=-79.6</f>
      </c>
      <c r="HB3" s="0" t="s">
        <v>296</v>
      </c>
      <c r="HC3" s="11" t="n">
        <v>45629</v>
      </c>
      <c r="HD3" s="6" t="s">
        <f>=-244.5</f>
      </c>
      <c r="HE3" s="0" t="s">
        <v>404</v>
      </c>
      <c r="HF3" s="11" t="n">
        <v>45341</v>
      </c>
      <c r="HG3" s="6" t="s">
        <f>=2013.7</f>
      </c>
      <c r="HH3" s="0" t="s">
        <v>527</v>
      </c>
      <c r="HI3" s="11" t="n">
        <v>45341</v>
      </c>
      <c r="HJ3" s="6" t="s">
        <f>=1814.64</f>
      </c>
      <c r="HK3" s="0" t="s">
        <v>527</v>
      </c>
      <c r="HL3" s="11" t="n">
        <v>45316</v>
      </c>
      <c r="HM3" s="6" t="s">
        <f>=-77.76</f>
      </c>
      <c r="HN3" s="0" t="s">
        <v>288</v>
      </c>
      <c r="HO3" s="11" t="n">
        <v>45321</v>
      </c>
      <c r="HP3" s="6" t="s">
        <f>=1917.37</f>
      </c>
      <c r="HQ3" s="0" t="s">
        <v>527</v>
      </c>
      <c r="HR3" s="11" t="n">
        <v>45337</v>
      </c>
      <c r="HS3" s="6" t="s">
        <f>=-173.45</f>
      </c>
      <c r="HT3" s="0" t="s">
        <v>292</v>
      </c>
      <c r="HU3" s="11" t="n">
        <v>45352</v>
      </c>
      <c r="HV3" s="6" t="s">
        <f>=-64.43</f>
      </c>
      <c r="HW3" s="0" t="s">
        <v>297</v>
      </c>
      <c r="HX3" s="11" t="n">
        <v>45352</v>
      </c>
      <c r="HY3" s="6" t="s">
        <f>=-38.52</f>
      </c>
      <c r="HZ3" s="0" t="s">
        <v>298</v>
      </c>
      <c r="IA3" s="11" t="n">
        <v>45377</v>
      </c>
      <c r="IB3" s="6" t="s">
        <f>=-55.32</f>
      </c>
      <c r="IC3" s="0" t="s">
        <v>306</v>
      </c>
      <c r="ID3" s="11" t="n">
        <v>45338</v>
      </c>
      <c r="IE3" s="6" t="s">
        <f>=-115.64</f>
      </c>
      <c r="IF3" s="0" t="s">
        <v>293</v>
      </c>
      <c r="IG3" s="11" t="n">
        <v>45433</v>
      </c>
      <c r="IH3" s="6" t="s">
        <f>=-110.28</f>
      </c>
      <c r="II3" s="0" t="s">
        <v>319</v>
      </c>
      <c r="IJ3" s="11" t="n">
        <v>45505</v>
      </c>
      <c r="IK3" s="6" t="s">
        <f>=-412.5</f>
      </c>
      <c r="IL3" s="0" t="s">
        <v>345</v>
      </c>
      <c r="IM3" s="11" t="n">
        <v>45089</v>
      </c>
      <c r="IN3" s="6" t="s">
        <f>=-26.92</f>
      </c>
      <c r="IO3" s="0" t="s">
        <v>271</v>
      </c>
      <c r="IP3" s="11" t="n">
        <v>45378</v>
      </c>
      <c r="IQ3" s="6" t="s">
        <f>=-94.7</f>
      </c>
      <c r="IR3" s="0" t="s">
        <v>309</v>
      </c>
      <c r="IS3" s="11" t="n">
        <v>45363</v>
      </c>
      <c r="IT3" s="6" t="s">
        <f>=-15.09</f>
      </c>
      <c r="IU3" s="0" t="s">
        <v>300</v>
      </c>
    </row>
    <row collapsed="false" customFormat="false" customHeight="false" hidden="false" ht="12.1" outlineLevel="0" r="4">
      <c r="A4" s="11" t="n">
        <v>44771</v>
      </c>
      <c r="B4" s="6" t="n">
        <v>349.7</v>
      </c>
      <c r="C4" s="0" t="s">
        <v>527</v>
      </c>
      <c r="D4" s="11" t="n">
        <v>45621</v>
      </c>
      <c r="E4" s="6" t="n">
        <v>4607.68</v>
      </c>
      <c r="F4" s="0" t="s">
        <v>527</v>
      </c>
      <c r="G4" s="11" t="n">
        <v>45852</v>
      </c>
      <c r="H4" s="6" t="n">
        <v>-749.57</v>
      </c>
      <c r="I4" s="0" t="s">
        <v>498</v>
      </c>
      <c r="J4" s="11" t="n">
        <v>45846</v>
      </c>
      <c r="K4" s="6" t="n">
        <v>-152</v>
      </c>
      <c r="L4" s="0" t="s">
        <v>491</v>
      </c>
      <c r="M4" s="11" t="n">
        <v>45537</v>
      </c>
      <c r="N4" s="6" t="n">
        <v>4667.72</v>
      </c>
      <c r="O4" s="0" t="s">
        <v>527</v>
      </c>
      <c r="P4" s="11" t="n">
        <v>44697</v>
      </c>
      <c r="Q4" s="6" t="n">
        <v>-4575.26</v>
      </c>
      <c r="R4" s="0" t="s">
        <v>528</v>
      </c>
      <c r="S4" s="0"/>
      <c r="T4" s="10" t="s">
        <f>=XIRR(T2:T3,S2:S3)</f>
      </c>
      <c r="U4" s="0"/>
      <c r="V4" s="11" t="n">
        <v>45530</v>
      </c>
      <c r="W4" s="6" t="n">
        <v>1316.96</v>
      </c>
      <c r="X4" s="0" t="s">
        <v>527</v>
      </c>
      <c r="Y4" s="11" t="n">
        <v>45576</v>
      </c>
      <c r="Z4" s="6" t="n">
        <v>-154.5</v>
      </c>
      <c r="AA4" s="0" t="s">
        <v>379</v>
      </c>
      <c r="AB4" s="11" t="n">
        <v>45910</v>
      </c>
      <c r="AC4" s="8" t="s">
        <f>=-Портфель!J11</f>
      </c>
      <c r="AD4" s="0" t="s">
        <v>529</v>
      </c>
      <c r="AE4" s="11" t="n">
        <v>45491</v>
      </c>
      <c r="AF4" s="6" t="n">
        <v>-148</v>
      </c>
      <c r="AG4" s="0" t="s">
        <v>342</v>
      </c>
      <c r="AH4" s="11" t="n">
        <v>45127</v>
      </c>
      <c r="AI4" s="6" t="n">
        <v>-70</v>
      </c>
      <c r="AJ4" s="0" t="s">
        <v>277</v>
      </c>
      <c r="AK4" s="11" t="n">
        <v>45910</v>
      </c>
      <c r="AL4" s="8" t="s">
        <f>=-Портфель!J14</f>
      </c>
      <c r="AM4" s="0" t="s">
        <v>529</v>
      </c>
      <c r="AN4" s="0"/>
      <c r="AO4" s="10" t="s">
        <f>=XIRR(AO2:AO3,AN2:AN3)</f>
      </c>
      <c r="AP4" s="0"/>
      <c r="AQ4" s="11" t="n">
        <v>44810</v>
      </c>
      <c r="AR4" s="6" t="n">
        <v>-1539.97</v>
      </c>
      <c r="AS4" s="0" t="s">
        <v>528</v>
      </c>
      <c r="AT4" s="0"/>
      <c r="AU4" s="10" t="s">
        <f>=XIRR(AU2:AU3,AT2:AT3)</f>
      </c>
      <c r="AV4" s="0"/>
      <c r="AW4" s="11" t="n">
        <v>45852</v>
      </c>
      <c r="AX4" s="6" t="n">
        <v>-67.77</v>
      </c>
      <c r="AY4" s="0" t="s">
        <v>497</v>
      </c>
      <c r="AZ4" s="11" t="n">
        <v>45855</v>
      </c>
      <c r="BA4" s="6" t="n">
        <v>-344.5</v>
      </c>
      <c r="BB4" s="0" t="s">
        <v>500</v>
      </c>
      <c r="BC4" s="11" t="n">
        <v>45910</v>
      </c>
      <c r="BD4" s="8" t="s">
        <f>=-Портфель!J20</f>
      </c>
      <c r="BE4" s="0" t="s">
        <v>529</v>
      </c>
      <c r="BF4" s="11" t="n">
        <v>44792</v>
      </c>
      <c r="BG4" s="6" t="n">
        <v>591.36</v>
      </c>
      <c r="BH4" s="0" t="s">
        <v>527</v>
      </c>
      <c r="BI4" s="11" t="n">
        <v>44746</v>
      </c>
      <c r="BJ4" s="6" t="n">
        <v>645.89</v>
      </c>
      <c r="BK4" s="0" t="s">
        <v>527</v>
      </c>
      <c r="BL4" s="11" t="n">
        <v>45457</v>
      </c>
      <c r="BM4" s="6" t="n">
        <v>-150.5</v>
      </c>
      <c r="BN4" s="0" t="s">
        <v>328</v>
      </c>
      <c r="BO4" s="11" t="n">
        <v>45910</v>
      </c>
      <c r="BP4" s="8" t="s">
        <f>=-Портфель!J24</f>
      </c>
      <c r="BQ4" s="0" t="s">
        <v>529</v>
      </c>
      <c r="BR4" s="11" t="n">
        <v>44761</v>
      </c>
      <c r="BS4" s="6" t="n">
        <v>1428.85</v>
      </c>
      <c r="BT4" s="0" t="s">
        <v>527</v>
      </c>
      <c r="BU4" s="11" t="n">
        <v>45882</v>
      </c>
      <c r="BV4" s="6" t="n">
        <v>-47.2</v>
      </c>
      <c r="BW4" s="0" t="s">
        <v>513</v>
      </c>
      <c r="BX4" s="11" t="n">
        <v>45910</v>
      </c>
      <c r="BY4" s="8" t="s">
        <f>=-Портфель!J27</f>
      </c>
      <c r="BZ4" s="0" t="s">
        <v>529</v>
      </c>
      <c r="CA4" s="11" t="n">
        <v>44789</v>
      </c>
      <c r="CB4" s="6" t="n">
        <v>-1157.3</v>
      </c>
      <c r="CC4" s="0" t="s">
        <v>528</v>
      </c>
      <c r="CD4" s="11" t="n">
        <v>44777</v>
      </c>
      <c r="CE4" s="6" t="n">
        <v>312.34</v>
      </c>
      <c r="CF4" s="0" t="s">
        <v>527</v>
      </c>
      <c r="CG4" s="11" t="n">
        <v>45673</v>
      </c>
      <c r="CH4" s="6" t="n">
        <v>-6.93</v>
      </c>
      <c r="CI4" s="0" t="s">
        <v>430</v>
      </c>
      <c r="CJ4" s="11" t="n">
        <v>45491</v>
      </c>
      <c r="CK4" s="6" t="n">
        <v>1718.88</v>
      </c>
      <c r="CL4" s="0" t="s">
        <v>527</v>
      </c>
      <c r="CM4" s="0"/>
      <c r="CN4" s="10" t="s">
        <f>=XIRR(CN2:CN3,CM2:CM3)</f>
      </c>
      <c r="CO4" s="0"/>
      <c r="CP4" s="11" t="n">
        <v>45817</v>
      </c>
      <c r="CQ4" s="6" t="n">
        <v>-72.5</v>
      </c>
      <c r="CR4" s="0" t="s">
        <v>478</v>
      </c>
      <c r="CS4" s="11" t="n">
        <v>45461</v>
      </c>
      <c r="CT4" s="6" t="n">
        <v>-33.3</v>
      </c>
      <c r="CU4" s="0" t="s">
        <v>331</v>
      </c>
      <c r="CV4" s="11" t="n">
        <v>44938</v>
      </c>
      <c r="CW4" s="6" t="n">
        <v>1170.79872</v>
      </c>
      <c r="CX4" s="0" t="s">
        <v>530</v>
      </c>
      <c r="CY4" s="11" t="n">
        <v>45263</v>
      </c>
      <c r="CZ4" s="6" t="n">
        <v>-35</v>
      </c>
      <c r="DA4" s="0" t="s">
        <v>280</v>
      </c>
      <c r="DB4" s="11" t="n">
        <v>45414</v>
      </c>
      <c r="DC4" s="6" t="n">
        <v>-87</v>
      </c>
      <c r="DD4" s="0" t="s">
        <v>316</v>
      </c>
      <c r="DE4" s="0"/>
      <c r="DF4" s="10" t="s">
        <f>=XIRR(DF2:DF3,DE2:DE3)</f>
      </c>
      <c r="DG4" s="0"/>
      <c r="DH4" s="11" t="n">
        <v>44854</v>
      </c>
      <c r="DI4" s="6" t="n">
        <v>-21.2</v>
      </c>
      <c r="DJ4" s="0" t="s">
        <v>264</v>
      </c>
      <c r="DK4" s="0"/>
      <c r="DL4" s="10" t="s">
        <f>=XIRR(DL2:DL3,DK2:DK3)</f>
      </c>
      <c r="DM4" s="0"/>
      <c r="DN4" s="11" t="n">
        <v>45526</v>
      </c>
      <c r="DO4" s="6" t="n">
        <v>662.6</v>
      </c>
      <c r="DP4" s="0" t="s">
        <v>527</v>
      </c>
      <c r="DQ4" s="11" t="n">
        <v>45582</v>
      </c>
      <c r="DR4" s="6" t="n">
        <v>-21.94</v>
      </c>
      <c r="DS4" s="0" t="s">
        <v>382</v>
      </c>
      <c r="DT4" s="11" t="n">
        <v>45910</v>
      </c>
      <c r="DU4" s="8" t="s">
        <f>=-Портфель!J43</f>
      </c>
      <c r="DV4" s="0" t="s">
        <v>529</v>
      </c>
      <c r="DW4" s="11" t="n">
        <v>44803</v>
      </c>
      <c r="DX4" s="6" t="n">
        <v>444.27</v>
      </c>
      <c r="DY4" s="0" t="s">
        <v>527</v>
      </c>
      <c r="DZ4" s="0"/>
      <c r="EA4" s="10" t="s">
        <f>=XIRR(EA2:EA3,DZ2:DZ3)</f>
      </c>
      <c r="EB4" s="0"/>
      <c r="EC4" s="11" t="n">
        <v>45573</v>
      </c>
      <c r="ED4" s="6" t="n">
        <v>-15381.3</v>
      </c>
      <c r="EE4" s="0" t="s">
        <v>528</v>
      </c>
      <c r="EF4" s="11" t="n">
        <v>45462</v>
      </c>
      <c r="EG4" s="6" t="n">
        <v>141.44</v>
      </c>
      <c r="EH4" s="0" t="s">
        <v>527</v>
      </c>
      <c r="EI4" s="11" t="n">
        <v>44673</v>
      </c>
      <c r="EJ4" s="6" t="n">
        <v>106.94</v>
      </c>
      <c r="EK4" s="0" t="s">
        <v>527</v>
      </c>
      <c r="EL4" s="11" t="n">
        <v>44715</v>
      </c>
      <c r="EM4" s="6" t="n">
        <v>89.02</v>
      </c>
      <c r="EN4" s="0" t="s">
        <v>527</v>
      </c>
      <c r="EO4" s="11" t="n">
        <v>44659</v>
      </c>
      <c r="EP4" s="6" t="n">
        <v>-790.3</v>
      </c>
      <c r="EQ4" s="0" t="s">
        <v>528</v>
      </c>
      <c r="ER4" s="11" t="n">
        <v>45447</v>
      </c>
      <c r="ES4" s="6" t="s">
        <f>=5499.57</f>
      </c>
      <c r="ET4" s="0" t="s">
        <v>527</v>
      </c>
      <c r="EU4" s="11" t="n">
        <v>45464</v>
      </c>
      <c r="EV4" s="6" t="s">
        <f>=11651.91</f>
      </c>
      <c r="EW4" s="0" t="s">
        <v>527</v>
      </c>
      <c r="EX4" s="11" t="n">
        <v>45568</v>
      </c>
      <c r="EY4" s="6" t="s">
        <f>=2055.76</f>
      </c>
      <c r="EZ4" s="0" t="s">
        <v>527</v>
      </c>
      <c r="FA4" s="11" t="n">
        <v>45391</v>
      </c>
      <c r="FB4" s="6" t="s">
        <f>=8963.55</f>
      </c>
      <c r="FC4" s="0" t="s">
        <v>527</v>
      </c>
      <c r="FD4" s="11" t="n">
        <v>45429</v>
      </c>
      <c r="FE4" s="6" t="s">
        <f>=10662.89</f>
      </c>
      <c r="FF4" s="0" t="s">
        <v>527</v>
      </c>
      <c r="FG4" s="11" t="n">
        <v>45573</v>
      </c>
      <c r="FH4" s="6" t="s">
        <f>=10959.03</f>
      </c>
      <c r="FI4" s="0" t="s">
        <v>527</v>
      </c>
      <c r="FJ4" s="11" t="n">
        <v>45320</v>
      </c>
      <c r="FK4" s="6" t="s">
        <f>=-29.54</f>
      </c>
      <c r="FL4" s="0" t="s">
        <v>283</v>
      </c>
      <c r="FM4" s="11" t="n">
        <v>45341</v>
      </c>
      <c r="FN4" s="6" t="s">
        <f>=4177.51</f>
      </c>
      <c r="FO4" s="0" t="s">
        <v>527</v>
      </c>
      <c r="FP4" s="11" t="n">
        <v>45623</v>
      </c>
      <c r="FQ4" s="6" t="s">
        <f>=-1401.58</f>
      </c>
      <c r="FR4" s="0" t="s">
        <v>397</v>
      </c>
      <c r="FS4" s="11" t="n">
        <v>45805</v>
      </c>
      <c r="FT4" s="6" t="s">
        <f>=-1062.6</f>
      </c>
      <c r="FU4" s="0" t="s">
        <v>468</v>
      </c>
      <c r="FV4" s="11" t="n">
        <v>45812</v>
      </c>
      <c r="FW4" s="6" t="s">
        <f>=-1062.6</f>
      </c>
      <c r="FX4" s="0" t="s">
        <v>475</v>
      </c>
      <c r="FY4" s="11" t="n">
        <v>45496</v>
      </c>
      <c r="FZ4" s="6" t="s">
        <f>=8108.84</f>
      </c>
      <c r="GA4" s="0" t="s">
        <v>527</v>
      </c>
      <c r="GB4" s="11" t="n">
        <v>45496</v>
      </c>
      <c r="GC4" s="6" t="s">
        <f>=7068.48</f>
      </c>
      <c r="GD4" s="0" t="s">
        <v>527</v>
      </c>
      <c r="GE4" s="11" t="n">
        <v>45371</v>
      </c>
      <c r="GF4" s="6" t="s">
        <f>=-504.6</f>
      </c>
      <c r="GG4" s="0" t="s">
        <v>305</v>
      </c>
      <c r="GH4" s="11" t="n">
        <v>45609</v>
      </c>
      <c r="GI4" s="6" t="s">
        <f>=-310.5</f>
      </c>
      <c r="GJ4" s="0" t="s">
        <v>318</v>
      </c>
      <c r="GK4" s="11" t="n">
        <v>45498</v>
      </c>
      <c r="GL4" s="6" t="s">
        <f>=-102.81</f>
      </c>
      <c r="GM4" s="0" t="s">
        <v>314</v>
      </c>
      <c r="GN4" s="11" t="n">
        <v>45798</v>
      </c>
      <c r="GO4" s="6" t="s">
        <f>=-247.2</f>
      </c>
      <c r="GP4" s="0" t="s">
        <v>396</v>
      </c>
      <c r="GQ4" s="11" t="n">
        <v>45327</v>
      </c>
      <c r="GR4" s="6" t="s">
        <f>=-10.26</f>
      </c>
      <c r="GS4" s="0" t="s">
        <v>284</v>
      </c>
      <c r="GT4" s="11" t="n">
        <v>45779</v>
      </c>
      <c r="GU4" s="6" t="s">
        <f>=-173.45</f>
      </c>
      <c r="GV4" s="0" t="s">
        <v>431</v>
      </c>
      <c r="GW4" s="11" t="n">
        <v>45366</v>
      </c>
      <c r="GX4" s="6" t="s">
        <f>=-56.75</f>
      </c>
      <c r="GY4" s="0" t="s">
        <v>291</v>
      </c>
      <c r="GZ4" s="11" t="n">
        <v>45439</v>
      </c>
      <c r="HA4" s="6" t="s">
        <f>=-79.6</f>
      </c>
      <c r="HB4" s="0" t="s">
        <v>296</v>
      </c>
      <c r="HC4" s="11" t="n">
        <v>45811</v>
      </c>
      <c r="HD4" s="6" t="s">
        <f>=-244.5</f>
      </c>
      <c r="HE4" s="0" t="s">
        <v>404</v>
      </c>
      <c r="HF4" s="11" t="n">
        <v>45343</v>
      </c>
      <c r="HG4" s="6" t="s">
        <f>=-118.64</f>
      </c>
      <c r="HH4" s="0" t="s">
        <v>295</v>
      </c>
      <c r="HI4" s="11" t="n">
        <v>45357</v>
      </c>
      <c r="HJ4" s="6" t="s">
        <f>=-200.6</f>
      </c>
      <c r="HK4" s="0" t="s">
        <v>299</v>
      </c>
      <c r="HL4" s="11" t="n">
        <v>45407</v>
      </c>
      <c r="HM4" s="6" t="s">
        <f>=-77.76</f>
      </c>
      <c r="HN4" s="0" t="s">
        <v>288</v>
      </c>
      <c r="HO4" s="11" t="n">
        <v>45386</v>
      </c>
      <c r="HP4" s="6" t="s">
        <f>=-102.68</f>
      </c>
      <c r="HQ4" s="0" t="s">
        <v>312</v>
      </c>
      <c r="HR4" s="11" t="n">
        <v>45428</v>
      </c>
      <c r="HS4" s="6" t="s">
        <f>=-173.45</f>
      </c>
      <c r="HT4" s="0" t="s">
        <v>292</v>
      </c>
      <c r="HU4" s="11" t="n">
        <v>45443</v>
      </c>
      <c r="HV4" s="6" t="s">
        <f>=-64.43</f>
      </c>
      <c r="HW4" s="0" t="s">
        <v>297</v>
      </c>
      <c r="HX4" s="11" t="n">
        <v>45383</v>
      </c>
      <c r="HY4" s="6" t="s">
        <f>=-41.53</f>
      </c>
      <c r="HZ4" s="0" t="s">
        <v>310</v>
      </c>
      <c r="IA4" s="11" t="n">
        <v>45468</v>
      </c>
      <c r="IB4" s="6" t="s">
        <f>=-55.32</f>
      </c>
      <c r="IC4" s="0" t="s">
        <v>306</v>
      </c>
      <c r="ID4" s="11" t="n">
        <v>45520</v>
      </c>
      <c r="IE4" s="6" t="s">
        <f>=-115.64</f>
      </c>
      <c r="IF4" s="0" t="s">
        <v>293</v>
      </c>
      <c r="IG4" s="11" t="n">
        <v>45615</v>
      </c>
      <c r="IH4" s="6" t="s">
        <f>=-128.28</f>
      </c>
      <c r="II4" s="0" t="s">
        <v>395</v>
      </c>
      <c r="IJ4" s="11" t="n">
        <v>45506</v>
      </c>
      <c r="IK4" s="6" t="s">
        <f>=-53.4</f>
      </c>
      <c r="IL4" s="0" t="s">
        <v>349</v>
      </c>
      <c r="IM4" s="11" t="n">
        <v>45271</v>
      </c>
      <c r="IN4" s="6" t="s">
        <f>=-26.92</f>
      </c>
      <c r="IO4" s="0" t="s">
        <v>271</v>
      </c>
      <c r="IP4" s="11" t="n">
        <v>45559</v>
      </c>
      <c r="IQ4" s="6" t="s">
        <f>=-660</f>
      </c>
      <c r="IR4" s="0" t="s">
        <v>369</v>
      </c>
      <c r="IS4" s="11" t="n">
        <v>45364</v>
      </c>
      <c r="IT4" s="6" t="s">
        <f>=-24.25</f>
      </c>
      <c r="IU4" s="0" t="s">
        <v>302</v>
      </c>
    </row>
    <row collapsed="false" customFormat="false" customHeight="false" hidden="false" ht="12.1" outlineLevel="0" r="5">
      <c r="A5" s="11" t="n">
        <v>44938</v>
      </c>
      <c r="B5" s="6" t="n">
        <v>-35.78</v>
      </c>
      <c r="C5" s="0" t="s">
        <v>267</v>
      </c>
      <c r="D5" s="11" t="n">
        <v>45623</v>
      </c>
      <c r="E5" s="6" t="n">
        <v>6735.28</v>
      </c>
      <c r="F5" s="0" t="s">
        <v>527</v>
      </c>
      <c r="G5" s="11" t="n">
        <v>45910</v>
      </c>
      <c r="H5" s="8" t="s">
        <f>=-Портфель!J4</f>
      </c>
      <c r="I5" s="0" t="s">
        <v>529</v>
      </c>
      <c r="J5" s="11" t="n">
        <v>45910</v>
      </c>
      <c r="K5" s="8" t="s">
        <f>=-Портфель!J5</f>
      </c>
      <c r="L5" s="0" t="s">
        <v>529</v>
      </c>
      <c r="M5" s="11" t="n">
        <v>45910</v>
      </c>
      <c r="N5" s="8" t="s">
        <f>=-Портфель!J6</f>
      </c>
      <c r="O5" s="0" t="s">
        <v>529</v>
      </c>
      <c r="P5" s="11" t="n">
        <v>44916</v>
      </c>
      <c r="Q5" s="6" t="n">
        <v>-467</v>
      </c>
      <c r="R5" s="0" t="s">
        <v>265</v>
      </c>
      <c r="S5" s="0"/>
      <c r="T5" s="8" t="s">
        <f>=-SUM(T2:T3)</f>
      </c>
      <c r="U5" s="0" t="s">
        <v>531</v>
      </c>
      <c r="V5" s="11" t="n">
        <v>45537</v>
      </c>
      <c r="W5" s="6" t="n">
        <v>3204.31</v>
      </c>
      <c r="X5" s="0" t="s">
        <v>527</v>
      </c>
      <c r="Y5" s="11" t="n">
        <v>45775</v>
      </c>
      <c r="Z5" s="6" t="n">
        <v>-203.25</v>
      </c>
      <c r="AA5" s="0" t="s">
        <v>457</v>
      </c>
      <c r="AB5" s="0"/>
      <c r="AC5" s="10" t="s">
        <f>=XIRR(AC2:AC4,AB2:AB4)</f>
      </c>
      <c r="AD5" s="0"/>
      <c r="AE5" s="11" t="n">
        <v>45855</v>
      </c>
      <c r="AF5" s="6" t="n">
        <v>-157</v>
      </c>
      <c r="AG5" s="0" t="s">
        <v>499</v>
      </c>
      <c r="AH5" s="11" t="n">
        <v>45491</v>
      </c>
      <c r="AI5" s="6" t="n">
        <v>-1069</v>
      </c>
      <c r="AJ5" s="0" t="s">
        <v>340</v>
      </c>
      <c r="AK5" s="0"/>
      <c r="AL5" s="10" t="s">
        <f>=XIRR(AL2:AL4,AK2:AK4)</f>
      </c>
      <c r="AM5" s="0"/>
      <c r="AN5" s="0"/>
      <c r="AO5" s="8" t="s">
        <f>=-SUM(AO2:AO3)</f>
      </c>
      <c r="AP5" s="0" t="s">
        <v>531</v>
      </c>
      <c r="AQ5" s="11" t="n">
        <v>44810</v>
      </c>
      <c r="AR5" s="6" t="n">
        <v>1450.87</v>
      </c>
      <c r="AS5" s="0" t="s">
        <v>527</v>
      </c>
      <c r="AT5" s="0"/>
      <c r="AU5" s="8" t="s">
        <f>=-SUM(AU2:AU3)</f>
      </c>
      <c r="AV5" s="0" t="s">
        <v>531</v>
      </c>
      <c r="AW5" s="11" t="n">
        <v>45910</v>
      </c>
      <c r="AX5" s="8" t="s">
        <f>=-Портфель!J18</f>
      </c>
      <c r="AY5" s="0" t="s">
        <v>529</v>
      </c>
      <c r="AZ5" s="11" t="n">
        <v>45910</v>
      </c>
      <c r="BA5" s="8" t="s">
        <f>=-Портфель!J19</f>
      </c>
      <c r="BB5" s="0" t="s">
        <v>529</v>
      </c>
      <c r="BC5" s="0"/>
      <c r="BD5" s="10" t="s">
        <f>=XIRR(BD2:BD4,BC2:BC4)</f>
      </c>
      <c r="BE5" s="0"/>
      <c r="BF5" s="11" t="n">
        <v>44803</v>
      </c>
      <c r="BG5" s="6" t="n">
        <v>-615.12</v>
      </c>
      <c r="BH5" s="0" t="s">
        <v>528</v>
      </c>
      <c r="BI5" s="11" t="n">
        <v>44763</v>
      </c>
      <c r="BJ5" s="6" t="n">
        <v>599.16</v>
      </c>
      <c r="BK5" s="0" t="s">
        <v>527</v>
      </c>
      <c r="BL5" s="11" t="n">
        <v>45848</v>
      </c>
      <c r="BM5" s="6" t="n">
        <v>-227.1</v>
      </c>
      <c r="BN5" s="0" t="s">
        <v>493</v>
      </c>
      <c r="BO5" s="0"/>
      <c r="BP5" s="10" t="s">
        <f>=XIRR(BP2:BP4,BO2:BO4)</f>
      </c>
      <c r="BQ5" s="0"/>
      <c r="BR5" s="11" t="n">
        <v>45910</v>
      </c>
      <c r="BS5" s="8" t="s">
        <f>=-Портфель!J25</f>
      </c>
      <c r="BT5" s="0" t="s">
        <v>529</v>
      </c>
      <c r="BU5" s="11" t="n">
        <v>45910</v>
      </c>
      <c r="BV5" s="8" t="s">
        <f>=-Портфель!J26</f>
      </c>
      <c r="BW5" s="0" t="s">
        <v>529</v>
      </c>
      <c r="BX5" s="0"/>
      <c r="BY5" s="10" t="s">
        <f>=XIRR(BY2:BY4,BX2:BX4)</f>
      </c>
      <c r="BZ5" s="0"/>
      <c r="CA5" s="11" t="n">
        <v>45530</v>
      </c>
      <c r="CB5" s="6" t="n">
        <v>2699.76</v>
      </c>
      <c r="CC5" s="0" t="s">
        <v>527</v>
      </c>
      <c r="CD5" s="11" t="n">
        <v>45076</v>
      </c>
      <c r="CE5" s="6" t="n">
        <v>-49.73</v>
      </c>
      <c r="CF5" s="0" t="s">
        <v>269</v>
      </c>
      <c r="CG5" s="11" t="n">
        <v>45848</v>
      </c>
      <c r="CH5" s="6" t="n">
        <v>-8.44</v>
      </c>
      <c r="CI5" s="0" t="s">
        <v>494</v>
      </c>
      <c r="CJ5" s="11" t="n">
        <v>45641</v>
      </c>
      <c r="CK5" s="6" t="n">
        <v>-87</v>
      </c>
      <c r="CL5" s="0" t="s">
        <v>417</v>
      </c>
      <c r="CM5" s="0"/>
      <c r="CN5" s="8" t="s">
        <f>=-SUM(CN2:CN3)</f>
      </c>
      <c r="CO5" s="0" t="s">
        <v>531</v>
      </c>
      <c r="CP5" s="11" t="n">
        <v>45910</v>
      </c>
      <c r="CQ5" s="8" t="s">
        <f>=-Портфель!J33</f>
      </c>
      <c r="CR5" s="0" t="s">
        <v>529</v>
      </c>
      <c r="CS5" s="11" t="n">
        <v>45545</v>
      </c>
      <c r="CT5" s="6" t="n">
        <v>-27.06</v>
      </c>
      <c r="CU5" s="0" t="s">
        <v>361</v>
      </c>
      <c r="CV5" s="11" t="n">
        <v>45910</v>
      </c>
      <c r="CW5" s="8" t="s">
        <f>=-Портфель!J35</f>
      </c>
      <c r="CX5" s="0" t="s">
        <v>529</v>
      </c>
      <c r="CY5" s="11" t="n">
        <v>45458</v>
      </c>
      <c r="CZ5" s="6" t="n">
        <v>-35</v>
      </c>
      <c r="DA5" s="0" t="s">
        <v>280</v>
      </c>
      <c r="DB5" s="11" t="n">
        <v>45776</v>
      </c>
      <c r="DC5" s="6" t="n">
        <v>-68</v>
      </c>
      <c r="DD5" s="0" t="s">
        <v>273</v>
      </c>
      <c r="DE5" s="0"/>
      <c r="DF5" s="8" t="s">
        <f>=-SUM(DF2:DF3)</f>
      </c>
      <c r="DG5" s="0" t="s">
        <v>531</v>
      </c>
      <c r="DH5" s="11" t="n">
        <v>45910</v>
      </c>
      <c r="DI5" s="8" t="s">
        <f>=-Портфель!J39</f>
      </c>
      <c r="DJ5" s="0" t="s">
        <v>529</v>
      </c>
      <c r="DK5" s="0"/>
      <c r="DL5" s="8" t="s">
        <f>=-SUM(DL2:DL3)</f>
      </c>
      <c r="DM5" s="0" t="s">
        <v>531</v>
      </c>
      <c r="DN5" s="11" t="n">
        <v>45632</v>
      </c>
      <c r="DO5" s="6" t="n">
        <v>-5.33</v>
      </c>
      <c r="DP5" s="0" t="s">
        <v>408</v>
      </c>
      <c r="DQ5" s="11" t="n">
        <v>45910</v>
      </c>
      <c r="DR5" s="8" t="s">
        <f>=-Портфель!J42</f>
      </c>
      <c r="DS5" s="0" t="s">
        <v>529</v>
      </c>
      <c r="DT5" s="0"/>
      <c r="DU5" s="10" t="s">
        <f>=XIRR(DU2:DU4,DT2:DT4)</f>
      </c>
      <c r="DV5" s="0"/>
      <c r="DW5" s="11" t="n">
        <v>45910</v>
      </c>
      <c r="DX5" s="8" t="s">
        <f>=-Портфель!J44</f>
      </c>
      <c r="DY5" s="0" t="s">
        <v>529</v>
      </c>
      <c r="DZ5" s="0"/>
      <c r="EA5" s="8" t="s">
        <f>=-SUM(EA2:EA3)</f>
      </c>
      <c r="EB5" s="0" t="s">
        <v>531</v>
      </c>
      <c r="EC5" s="11" t="n">
        <v>45635</v>
      </c>
      <c r="ED5" s="6" t="n">
        <v>2871</v>
      </c>
      <c r="EE5" s="0" t="s">
        <v>527</v>
      </c>
      <c r="EF5" s="11" t="n">
        <v>45505</v>
      </c>
      <c r="EG5" s="6" t="n">
        <v>429.67</v>
      </c>
      <c r="EH5" s="0" t="s">
        <v>527</v>
      </c>
      <c r="EI5" s="11" t="n">
        <v>44676</v>
      </c>
      <c r="EJ5" s="6" t="n">
        <v>234.04</v>
      </c>
      <c r="EK5" s="0" t="s">
        <v>527</v>
      </c>
      <c r="EL5" s="11" t="n">
        <v>44742</v>
      </c>
      <c r="EM5" s="6" t="n">
        <v>87.82</v>
      </c>
      <c r="EN5" s="0" t="s">
        <v>527</v>
      </c>
      <c r="EO5" s="11" t="n">
        <v>44662</v>
      </c>
      <c r="EP5" s="6" t="n">
        <v>429.4</v>
      </c>
      <c r="EQ5" s="0" t="s">
        <v>527</v>
      </c>
      <c r="ER5" s="11" t="n">
        <v>45448</v>
      </c>
      <c r="ES5" s="6" t="s">
        <f>=-831.8</f>
      </c>
      <c r="ET5" s="0" t="s">
        <v>323</v>
      </c>
      <c r="EU5" s="11" t="n">
        <v>45488</v>
      </c>
      <c r="EV5" s="6" t="s">
        <f>=17315.67</f>
      </c>
      <c r="EW5" s="0" t="s">
        <v>527</v>
      </c>
      <c r="EX5" s="11" t="n">
        <v>45630</v>
      </c>
      <c r="EY5" s="6" t="s">
        <f>=-2253.11</f>
      </c>
      <c r="EZ5" s="0" t="s">
        <v>405</v>
      </c>
      <c r="FA5" s="11" t="n">
        <v>45551</v>
      </c>
      <c r="FB5" s="6" t="s">
        <f>=16901.46</f>
      </c>
      <c r="FC5" s="0" t="s">
        <v>527</v>
      </c>
      <c r="FD5" s="11" t="n">
        <v>45551</v>
      </c>
      <c r="FE5" s="6" t="s">
        <f>=13349.4</f>
      </c>
      <c r="FF5" s="0" t="s">
        <v>527</v>
      </c>
      <c r="FG5" s="11" t="n">
        <v>45742</v>
      </c>
      <c r="FH5" s="6" t="s">
        <f>=-1770.56</f>
      </c>
      <c r="FI5" s="0" t="s">
        <v>448</v>
      </c>
      <c r="FJ5" s="11" t="n">
        <v>45350</v>
      </c>
      <c r="FK5" s="6" t="s">
        <f>=-29.54</f>
      </c>
      <c r="FL5" s="0" t="s">
        <v>283</v>
      </c>
      <c r="FM5" s="11" t="n">
        <v>45371</v>
      </c>
      <c r="FN5" s="6" t="s">
        <f>=-436.15</f>
      </c>
      <c r="FO5" s="0" t="s">
        <v>304</v>
      </c>
      <c r="FP5" s="11" t="n">
        <v>45805</v>
      </c>
      <c r="FQ5" s="6" t="s">
        <f>=-1401.58</f>
      </c>
      <c r="FR5" s="0" t="s">
        <v>397</v>
      </c>
      <c r="FS5" s="11" t="n">
        <v>45916</v>
      </c>
      <c r="FT5" s="8" t="s">
        <f>=-Портфель!J62</f>
      </c>
      <c r="FU5" s="0" t="s">
        <v>529</v>
      </c>
      <c r="FV5" s="11" t="n">
        <v>45916</v>
      </c>
      <c r="FW5" s="8" t="s">
        <f>=-Портфель!J63</f>
      </c>
      <c r="FX5" s="0" t="s">
        <v>529</v>
      </c>
      <c r="FY5" s="11" t="n">
        <v>45525</v>
      </c>
      <c r="FZ5" s="6" t="s">
        <f>=-532.04</f>
      </c>
      <c r="GA5" s="0" t="s">
        <v>354</v>
      </c>
      <c r="GB5" s="11" t="n">
        <v>45509</v>
      </c>
      <c r="GC5" s="6" t="s">
        <f>=2098.08</f>
      </c>
      <c r="GD5" s="0" t="s">
        <v>527</v>
      </c>
      <c r="GE5" s="11" t="n">
        <v>45553</v>
      </c>
      <c r="GF5" s="6" t="s">
        <f>=-504.6</f>
      </c>
      <c r="GG5" s="0" t="s">
        <v>305</v>
      </c>
      <c r="GH5" s="11" t="n">
        <v>45791</v>
      </c>
      <c r="GI5" s="6" t="s">
        <f>=-310.5</f>
      </c>
      <c r="GJ5" s="0" t="s">
        <v>318</v>
      </c>
      <c r="GK5" s="11" t="n">
        <v>45509</v>
      </c>
      <c r="GL5" s="6" t="s">
        <f>=3398.29</f>
      </c>
      <c r="GM5" s="0" t="s">
        <v>527</v>
      </c>
      <c r="GN5" s="11" t="n">
        <v>45910</v>
      </c>
      <c r="GO5" s="8" t="s">
        <f>=-Портфель!J69</f>
      </c>
      <c r="GP5" s="0" t="s">
        <v>529</v>
      </c>
      <c r="GQ5" s="11" t="n">
        <v>45357</v>
      </c>
      <c r="GR5" s="6" t="s">
        <f>=-10.26</f>
      </c>
      <c r="GS5" s="0" t="s">
        <v>284</v>
      </c>
      <c r="GT5" s="11" t="n">
        <v>45870</v>
      </c>
      <c r="GU5" s="6" t="s">
        <f>=-282.1</f>
      </c>
      <c r="GV5" s="0" t="s">
        <v>507</v>
      </c>
      <c r="GW5" s="11" t="n">
        <v>45366</v>
      </c>
      <c r="GX5" s="6" t="s">
        <f>=5068.56</f>
      </c>
      <c r="GY5" s="0" t="s">
        <v>527</v>
      </c>
      <c r="GZ5" s="11" t="n">
        <v>45530</v>
      </c>
      <c r="HA5" s="6" t="s">
        <f>=-79.6</f>
      </c>
      <c r="HB5" s="0" t="s">
        <v>296</v>
      </c>
      <c r="HC5" s="11" t="n">
        <v>45910</v>
      </c>
      <c r="HD5" s="8" t="s">
        <f>=-Портфель!J74</f>
      </c>
      <c r="HE5" s="0" t="s">
        <v>529</v>
      </c>
      <c r="HF5" s="11" t="n">
        <v>45434</v>
      </c>
      <c r="HG5" s="6" t="s">
        <f>=-118.64</f>
      </c>
      <c r="HH5" s="0" t="s">
        <v>295</v>
      </c>
      <c r="HI5" s="11" t="n">
        <v>45539</v>
      </c>
      <c r="HJ5" s="6" t="s">
        <f>=-200.6</f>
      </c>
      <c r="HK5" s="0" t="s">
        <v>299</v>
      </c>
      <c r="HL5" s="11" t="n">
        <v>45498</v>
      </c>
      <c r="HM5" s="6" t="s">
        <f>=-77.76</f>
      </c>
      <c r="HN5" s="0" t="s">
        <v>288</v>
      </c>
      <c r="HO5" s="11" t="n">
        <v>45477</v>
      </c>
      <c r="HP5" s="6" t="s">
        <f>=-102.68</f>
      </c>
      <c r="HQ5" s="0" t="s">
        <v>312</v>
      </c>
      <c r="HR5" s="11" t="n">
        <v>45519</v>
      </c>
      <c r="HS5" s="6" t="s">
        <f>=-173.45</f>
      </c>
      <c r="HT5" s="0" t="s">
        <v>292</v>
      </c>
      <c r="HU5" s="11" t="n">
        <v>45534</v>
      </c>
      <c r="HV5" s="6" t="s">
        <f>=-64.43</f>
      </c>
      <c r="HW5" s="0" t="s">
        <v>297</v>
      </c>
      <c r="HX5" s="11" t="n">
        <v>45413</v>
      </c>
      <c r="HY5" s="6" t="s">
        <f>=-40.06</f>
      </c>
      <c r="HZ5" s="0" t="s">
        <v>315</v>
      </c>
      <c r="IA5" s="11" t="n">
        <v>45559</v>
      </c>
      <c r="IB5" s="6" t="s">
        <f>=-55.32</f>
      </c>
      <c r="IC5" s="0" t="s">
        <v>306</v>
      </c>
      <c r="ID5" s="11" t="n">
        <v>45702</v>
      </c>
      <c r="IE5" s="6" t="s">
        <f>=-115.64</f>
      </c>
      <c r="IF5" s="0" t="s">
        <v>293</v>
      </c>
      <c r="IG5" s="11" t="n">
        <v>45797</v>
      </c>
      <c r="IH5" s="6" t="s">
        <f>=-154.02</f>
      </c>
      <c r="II5" s="0" t="s">
        <v>466</v>
      </c>
      <c r="IJ5" s="11" t="n">
        <v>45536</v>
      </c>
      <c r="IK5" s="6" t="s">
        <f>=-450.7</f>
      </c>
      <c r="IL5" s="0" t="s">
        <v>357</v>
      </c>
      <c r="IM5" s="11" t="n">
        <v>45453</v>
      </c>
      <c r="IN5" s="6" t="s">
        <f>=-26.92</f>
      </c>
      <c r="IO5" s="0" t="s">
        <v>271</v>
      </c>
      <c r="IP5" s="11" t="n">
        <v>45560</v>
      </c>
      <c r="IQ5" s="6" t="s">
        <f>=-94.7</f>
      </c>
      <c r="IR5" s="0" t="s">
        <v>309</v>
      </c>
      <c r="IS5" s="11" t="n">
        <v>45454</v>
      </c>
      <c r="IT5" s="6" t="s">
        <f>=-15.39</f>
      </c>
      <c r="IU5" s="0" t="s">
        <v>325</v>
      </c>
    </row>
    <row collapsed="false" customFormat="false" customHeight="false" hidden="false" ht="12.1" outlineLevel="0" r="6">
      <c r="A6" s="11" t="n">
        <v>45118</v>
      </c>
      <c r="B6" s="6" t="n">
        <v>-30.94</v>
      </c>
      <c r="C6" s="0" t="s">
        <v>275</v>
      </c>
      <c r="D6" s="11" t="n">
        <v>45856</v>
      </c>
      <c r="E6" s="6" t="n">
        <v>-1516</v>
      </c>
      <c r="F6" s="0" t="s">
        <v>502</v>
      </c>
      <c r="G6" s="0"/>
      <c r="H6" s="10" t="s">
        <f>=XIRR(H2:H5,G2:G5)</f>
      </c>
      <c r="I6" s="0"/>
      <c r="J6" s="0"/>
      <c r="K6" s="10" t="s">
        <f>=XIRR(K2:K5,J2:J5)</f>
      </c>
      <c r="L6" s="0"/>
      <c r="M6" s="0"/>
      <c r="N6" s="10" t="s">
        <f>=XIRR(N2:N5,M2:M5)</f>
      </c>
      <c r="O6" s="0"/>
      <c r="P6" s="11" t="n">
        <v>44916</v>
      </c>
      <c r="Q6" s="6" t="n">
        <v>-223</v>
      </c>
      <c r="R6" s="0" t="s">
        <v>266</v>
      </c>
      <c r="S6" s="0"/>
      <c r="T6" s="0"/>
      <c r="U6" s="0"/>
      <c r="V6" s="11" t="n">
        <v>45544</v>
      </c>
      <c r="W6" s="6" t="n">
        <v>3344.18</v>
      </c>
      <c r="X6" s="0" t="s">
        <v>527</v>
      </c>
      <c r="Y6" s="11" t="n">
        <v>45910</v>
      </c>
      <c r="Z6" s="8" t="s">
        <f>=-Портфель!J10</f>
      </c>
      <c r="AA6" s="0" t="s">
        <v>529</v>
      </c>
      <c r="AB6" s="0"/>
      <c r="AC6" s="8" t="s">
        <f>=-SUM(AC2:AC4)</f>
      </c>
      <c r="AD6" s="0" t="s">
        <v>531</v>
      </c>
      <c r="AE6" s="11" t="n">
        <v>45910</v>
      </c>
      <c r="AF6" s="8" t="s">
        <f>=-Портфель!J12</f>
      </c>
      <c r="AG6" s="0" t="s">
        <v>529</v>
      </c>
      <c r="AH6" s="11" t="n">
        <v>45855</v>
      </c>
      <c r="AI6" s="6" t="n">
        <v>-739</v>
      </c>
      <c r="AJ6" s="0" t="s">
        <v>501</v>
      </c>
      <c r="AK6" s="0"/>
      <c r="AL6" s="8" t="s">
        <f>=-SUM(AL2:AL4)</f>
      </c>
      <c r="AM6" s="0" t="s">
        <v>531</v>
      </c>
      <c r="AN6" s="0"/>
      <c r="AO6" s="0"/>
      <c r="AP6" s="0"/>
      <c r="AQ6" s="11" t="n">
        <v>45126</v>
      </c>
      <c r="AR6" s="6" t="n">
        <v>-71</v>
      </c>
      <c r="AS6" s="0" t="s">
        <v>276</v>
      </c>
      <c r="AT6" s="0"/>
      <c r="AU6" s="0"/>
      <c r="AV6" s="0"/>
      <c r="AW6" s="0"/>
      <c r="AX6" s="10" t="s">
        <f>=XIRR(AX2:AX5,AW2:AW5)</f>
      </c>
      <c r="AY6" s="0"/>
      <c r="AZ6" s="0"/>
      <c r="BA6" s="10" t="s">
        <f>=XIRR(BA2:BA5,AZ2:AZ5)</f>
      </c>
      <c r="BB6" s="0"/>
      <c r="BC6" s="0"/>
      <c r="BD6" s="8" t="s">
        <f>=-SUM(BD2:BD4)</f>
      </c>
      <c r="BE6" s="0" t="s">
        <v>531</v>
      </c>
      <c r="BF6" s="11" t="n">
        <v>45036</v>
      </c>
      <c r="BG6" s="6" t="n">
        <v>1210.61</v>
      </c>
      <c r="BH6" s="0" t="s">
        <v>527</v>
      </c>
      <c r="BI6" s="11" t="n">
        <v>45217</v>
      </c>
      <c r="BJ6" s="6" t="n">
        <v>-130.8</v>
      </c>
      <c r="BK6" s="0" t="s">
        <v>279</v>
      </c>
      <c r="BL6" s="11" t="n">
        <v>45910</v>
      </c>
      <c r="BM6" s="8" t="s">
        <f>=-Портфель!J23</f>
      </c>
      <c r="BN6" s="0" t="s">
        <v>529</v>
      </c>
      <c r="BO6" s="0"/>
      <c r="BP6" s="8" t="s">
        <f>=-SUM(BP2:BP4)</f>
      </c>
      <c r="BQ6" s="0" t="s">
        <v>531</v>
      </c>
      <c r="BR6" s="0"/>
      <c r="BS6" s="10" t="s">
        <f>=XIRR(BS2:BS5,BR2:BR5)</f>
      </c>
      <c r="BT6" s="0"/>
      <c r="BU6" s="0"/>
      <c r="BV6" s="10" t="s">
        <f>=XIRR(BV2:BV5,BU2:BU5)</f>
      </c>
      <c r="BW6" s="0"/>
      <c r="BX6" s="0"/>
      <c r="BY6" s="8" t="s">
        <f>=-SUM(BY2:BY4)</f>
      </c>
      <c r="BZ6" s="0" t="s">
        <v>531</v>
      </c>
      <c r="CA6" s="11" t="n">
        <v>45910</v>
      </c>
      <c r="CB6" s="8" t="s">
        <f>=-Портфель!J28</f>
      </c>
      <c r="CC6" s="0" t="s">
        <v>529</v>
      </c>
      <c r="CD6" s="11" t="n">
        <v>45120</v>
      </c>
      <c r="CE6" s="6" t="n">
        <v>415.58</v>
      </c>
      <c r="CF6" s="0" t="s">
        <v>527</v>
      </c>
      <c r="CG6" s="11" t="n">
        <v>45910</v>
      </c>
      <c r="CH6" s="8" t="s">
        <f>=-Портфель!J30</f>
      </c>
      <c r="CI6" s="0" t="s">
        <v>529</v>
      </c>
      <c r="CJ6" s="11" t="n">
        <v>45815</v>
      </c>
      <c r="CK6" s="6" t="n">
        <v>-50</v>
      </c>
      <c r="CL6" s="0" t="s">
        <v>476</v>
      </c>
      <c r="CM6" s="0"/>
      <c r="CN6" s="0"/>
      <c r="CO6" s="0"/>
      <c r="CP6" s="0"/>
      <c r="CQ6" s="10" t="s">
        <f>=XIRR(CQ2:CQ5,CP2:CP5)</f>
      </c>
      <c r="CR6" s="0"/>
      <c r="CS6" s="11" t="n">
        <v>45643</v>
      </c>
      <c r="CT6" s="6" t="n">
        <v>-43.06</v>
      </c>
      <c r="CU6" s="0" t="s">
        <v>419</v>
      </c>
      <c r="CV6" s="0"/>
      <c r="CW6" s="10" t="s">
        <f>=XIRR(CW2:CW5,CV2:CV5)</f>
      </c>
      <c r="CX6" s="0"/>
      <c r="CY6" s="11" t="n">
        <v>45576</v>
      </c>
      <c r="CZ6" s="6" t="n">
        <v>-70</v>
      </c>
      <c r="DA6" s="0" t="s">
        <v>380</v>
      </c>
      <c r="DB6" s="11" t="n">
        <v>45910</v>
      </c>
      <c r="DC6" s="8" t="s">
        <f>=-Портфель!J37</f>
      </c>
      <c r="DD6" s="0" t="s">
        <v>529</v>
      </c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11" t="n">
        <v>45910</v>
      </c>
      <c r="DO6" s="8" t="s">
        <f>=-Портфель!J41</f>
      </c>
      <c r="DP6" s="0" t="s">
        <v>529</v>
      </c>
      <c r="DQ6" s="0"/>
      <c r="DR6" s="10" t="s">
        <f>=XIRR(DR2:DR5,DQ2:DQ5)</f>
      </c>
      <c r="DS6" s="0"/>
      <c r="DT6" s="0"/>
      <c r="DU6" s="8" t="s">
        <f>=-SUM(DU2:DU4)</f>
      </c>
      <c r="DV6" s="0" t="s">
        <v>531</v>
      </c>
      <c r="DW6" s="0"/>
      <c r="DX6" s="10" t="s">
        <f>=XIRR(DX2:DX5,DW2:DW5)</f>
      </c>
      <c r="DY6" s="0"/>
      <c r="DZ6" s="0"/>
      <c r="EA6" s="0"/>
      <c r="EB6" s="0"/>
      <c r="EC6" s="11" t="n">
        <v>45695</v>
      </c>
      <c r="ED6" s="6" t="n">
        <v>6225</v>
      </c>
      <c r="EE6" s="0" t="s">
        <v>527</v>
      </c>
      <c r="EF6" s="11" t="n">
        <v>45506</v>
      </c>
      <c r="EG6" s="6" t="n">
        <v>429.01</v>
      </c>
      <c r="EH6" s="0" t="s">
        <v>527</v>
      </c>
      <c r="EI6" s="11" t="n">
        <v>44677</v>
      </c>
      <c r="EJ6" s="6" t="n">
        <v>342.03</v>
      </c>
      <c r="EK6" s="0" t="s">
        <v>527</v>
      </c>
      <c r="EL6" s="11" t="n">
        <v>44805</v>
      </c>
      <c r="EM6" s="6" t="n">
        <v>-379.96</v>
      </c>
      <c r="EN6" s="0" t="s">
        <v>528</v>
      </c>
      <c r="EO6" s="11" t="n">
        <v>44663</v>
      </c>
      <c r="EP6" s="6" t="n">
        <v>-79.14</v>
      </c>
      <c r="EQ6" s="0" t="s">
        <v>528</v>
      </c>
      <c r="ER6" s="11" t="n">
        <v>45461</v>
      </c>
      <c r="ES6" s="6" t="s">
        <f>=10749.86</f>
      </c>
      <c r="ET6" s="0" t="s">
        <v>527</v>
      </c>
      <c r="EU6" s="11" t="n">
        <v>45518</v>
      </c>
      <c r="EV6" s="6" t="s">
        <f>=-2429</f>
      </c>
      <c r="EW6" s="0" t="s">
        <v>351</v>
      </c>
      <c r="EX6" s="11" t="n">
        <v>45812</v>
      </c>
      <c r="EY6" s="6" t="s">
        <f>=-2253.11</f>
      </c>
      <c r="EZ6" s="0" t="s">
        <v>405</v>
      </c>
      <c r="FA6" s="11" t="n">
        <v>45560</v>
      </c>
      <c r="FB6" s="6" t="s">
        <f>=-1952</f>
      </c>
      <c r="FC6" s="0" t="s">
        <v>370</v>
      </c>
      <c r="FD6" s="11" t="n">
        <v>45567</v>
      </c>
      <c r="FE6" s="6" t="s">
        <f>=-1502.55</f>
      </c>
      <c r="FF6" s="0" t="s">
        <v>377</v>
      </c>
      <c r="FG6" s="11" t="n">
        <v>45916</v>
      </c>
      <c r="FH6" s="8" t="s">
        <f>=-Портфель!J58</f>
      </c>
      <c r="FI6" s="0" t="s">
        <v>529</v>
      </c>
      <c r="FJ6" s="11" t="n">
        <v>45380</v>
      </c>
      <c r="FK6" s="6" t="s">
        <f>=-29.54</f>
      </c>
      <c r="FL6" s="0" t="s">
        <v>283</v>
      </c>
      <c r="FM6" s="11" t="n">
        <v>45429</v>
      </c>
      <c r="FN6" s="6" t="s">
        <f>=12321.51</f>
      </c>
      <c r="FO6" s="0" t="s">
        <v>527</v>
      </c>
      <c r="FP6" s="11" t="n">
        <v>45916</v>
      </c>
      <c r="FQ6" s="8" t="s">
        <f>=-Портфель!J61</f>
      </c>
      <c r="FR6" s="0" t="s">
        <v>529</v>
      </c>
      <c r="FS6" s="0"/>
      <c r="FT6" s="10" t="s">
        <f>=XIRR(FT2:FT5,FS2:FS5)</f>
      </c>
      <c r="FU6" s="0"/>
      <c r="FV6" s="0"/>
      <c r="FW6" s="10" t="s">
        <f>=XIRR(FW2:FW5,FV2:FV5)</f>
      </c>
      <c r="FX6" s="0"/>
      <c r="FY6" s="11" t="n">
        <v>45616</v>
      </c>
      <c r="FZ6" s="6" t="s">
        <f>=-532.04</f>
      </c>
      <c r="GA6" s="0" t="s">
        <v>354</v>
      </c>
      <c r="GB6" s="11" t="n">
        <v>45548</v>
      </c>
      <c r="GC6" s="6" t="s">
        <f>=-310.6</f>
      </c>
      <c r="GD6" s="0" t="s">
        <v>367</v>
      </c>
      <c r="GE6" s="11" t="n">
        <v>45735</v>
      </c>
      <c r="GF6" s="6" t="s">
        <f>=-504.6</f>
      </c>
      <c r="GG6" s="0" t="s">
        <v>305</v>
      </c>
      <c r="GH6" s="11" t="n">
        <v>45910</v>
      </c>
      <c r="GI6" s="8" t="s">
        <f>=-Портфель!J67</f>
      </c>
      <c r="GJ6" s="0" t="s">
        <v>529</v>
      </c>
      <c r="GK6" s="11" t="n">
        <v>45589</v>
      </c>
      <c r="GL6" s="6" t="s">
        <f>=-175.96</f>
      </c>
      <c r="GM6" s="0" t="s">
        <v>385</v>
      </c>
      <c r="GN6" s="0"/>
      <c r="GO6" s="10" t="s">
        <f>=XIRR(GO2:GO5,GN2:GN5)</f>
      </c>
      <c r="GP6" s="0"/>
      <c r="GQ6" s="11" t="n">
        <v>45387</v>
      </c>
      <c r="GR6" s="6" t="s">
        <f>=-10.26</f>
      </c>
      <c r="GS6" s="0" t="s">
        <v>284</v>
      </c>
      <c r="GT6" s="11" t="n">
        <v>45969</v>
      </c>
      <c r="GU6" s="8" t="s">
        <f>=-Портфель!J71</f>
      </c>
      <c r="GV6" s="0" t="s">
        <v>529</v>
      </c>
      <c r="GW6" s="11" t="n">
        <v>45396</v>
      </c>
      <c r="GX6" s="6" t="s">
        <f>=-114.5</f>
      </c>
      <c r="GY6" s="0" t="s">
        <v>313</v>
      </c>
      <c r="GZ6" s="11" t="n">
        <v>45621</v>
      </c>
      <c r="HA6" s="6" t="s">
        <f>=-79.6</f>
      </c>
      <c r="HB6" s="0" t="s">
        <v>296</v>
      </c>
      <c r="HC6" s="0"/>
      <c r="HD6" s="10" t="s">
        <f>=XIRR(HD2:HD5,HC2:HC5)</f>
      </c>
      <c r="HE6" s="0"/>
      <c r="HF6" s="11" t="n">
        <v>45496</v>
      </c>
      <c r="HG6" s="6" t="s">
        <f>=933.87</f>
      </c>
      <c r="HH6" s="0" t="s">
        <v>527</v>
      </c>
      <c r="HI6" s="11" t="n">
        <v>45721</v>
      </c>
      <c r="HJ6" s="6" t="s">
        <f>=-200.6</f>
      </c>
      <c r="HK6" s="0" t="s">
        <v>299</v>
      </c>
      <c r="HL6" s="11" t="n">
        <v>45509</v>
      </c>
      <c r="HM6" s="6" t="s">
        <f>=1903.07</f>
      </c>
      <c r="HN6" s="0" t="s">
        <v>527</v>
      </c>
      <c r="HO6" s="11" t="n">
        <v>45568</v>
      </c>
      <c r="HP6" s="6" t="s">
        <f>=-102.68</f>
      </c>
      <c r="HQ6" s="0" t="s">
        <v>312</v>
      </c>
      <c r="HR6" s="11" t="n">
        <v>45609</v>
      </c>
      <c r="HS6" s="6" t="s">
        <f>=-500</f>
      </c>
      <c r="HT6" s="0" t="s">
        <v>393</v>
      </c>
      <c r="HU6" s="11" t="n">
        <v>45625</v>
      </c>
      <c r="HV6" s="6" t="s">
        <f>=-64.43</f>
      </c>
      <c r="HW6" s="0" t="s">
        <v>297</v>
      </c>
      <c r="HX6" s="11" t="n">
        <v>45444</v>
      </c>
      <c r="HY6" s="6" t="s">
        <f>=-41.53</f>
      </c>
      <c r="HZ6" s="0" t="s">
        <v>310</v>
      </c>
      <c r="IA6" s="11" t="n">
        <v>45650</v>
      </c>
      <c r="IB6" s="6" t="s">
        <f>=-55.32</f>
      </c>
      <c r="IC6" s="0" t="s">
        <v>306</v>
      </c>
      <c r="ID6" s="11" t="n">
        <v>45884</v>
      </c>
      <c r="IE6" s="6" t="s">
        <f>=-115.64</f>
      </c>
      <c r="IF6" s="0" t="s">
        <v>293</v>
      </c>
      <c r="IG6" s="11" t="n">
        <v>45910</v>
      </c>
      <c r="IH6" s="8" t="s">
        <f>=-Портфель!J84</f>
      </c>
      <c r="II6" s="0" t="s">
        <v>529</v>
      </c>
      <c r="IJ6" s="11" t="n">
        <v>45537</v>
      </c>
      <c r="IK6" s="6" t="s">
        <f>=-50.6</f>
      </c>
      <c r="IL6" s="0" t="s">
        <v>359</v>
      </c>
      <c r="IM6" s="11" t="n">
        <v>45635</v>
      </c>
      <c r="IN6" s="6" t="s">
        <f>=-70.78</f>
      </c>
      <c r="IO6" s="0" t="s">
        <v>410</v>
      </c>
      <c r="IP6" s="11" t="n">
        <v>45741</v>
      </c>
      <c r="IQ6" s="6" t="s">
        <f>=-660</f>
      </c>
      <c r="IR6" s="0" t="s">
        <v>369</v>
      </c>
      <c r="IS6" s="11" t="n">
        <v>45455</v>
      </c>
      <c r="IT6" s="6" t="s">
        <f>=-25.3</f>
      </c>
      <c r="IU6" s="0" t="s">
        <v>326</v>
      </c>
    </row>
    <row collapsed="false" customFormat="false" customHeight="false" hidden="false" ht="12.1" outlineLevel="0" r="7">
      <c r="A7" s="11" t="n">
        <v>45196</v>
      </c>
      <c r="B7" s="6" t="n">
        <v>529.87</v>
      </c>
      <c r="C7" s="0" t="s">
        <v>527</v>
      </c>
      <c r="D7" s="11" t="n">
        <v>45910</v>
      </c>
      <c r="E7" s="8" t="s">
        <f>=-Портфель!J3</f>
      </c>
      <c r="F7" s="0" t="s">
        <v>529</v>
      </c>
      <c r="G7" s="0"/>
      <c r="H7" s="8" t="s">
        <f>=-SUM(H2:H5)</f>
      </c>
      <c r="I7" s="0" t="s">
        <v>531</v>
      </c>
      <c r="J7" s="0"/>
      <c r="K7" s="8" t="s">
        <f>=-SUM(K2:K5)</f>
      </c>
      <c r="L7" s="0" t="s">
        <v>531</v>
      </c>
      <c r="M7" s="0"/>
      <c r="N7" s="8" t="s">
        <f>=-SUM(N2:N5)</f>
      </c>
      <c r="O7" s="0" t="s">
        <v>531</v>
      </c>
      <c r="P7" s="11" t="n">
        <v>45082</v>
      </c>
      <c r="Q7" s="6" t="n">
        <v>-381</v>
      </c>
      <c r="R7" s="0" t="s">
        <v>270</v>
      </c>
      <c r="S7" s="0"/>
      <c r="T7" s="0"/>
      <c r="U7" s="0"/>
      <c r="V7" s="11" t="n">
        <v>45579</v>
      </c>
      <c r="W7" s="6" t="n">
        <v>-542.52</v>
      </c>
      <c r="X7" s="0" t="s">
        <v>381</v>
      </c>
      <c r="Y7" s="0"/>
      <c r="Z7" s="10" t="s">
        <f>=XIRR(Z2:Z6,Y2:Y6)</f>
      </c>
      <c r="AA7" s="0"/>
      <c r="AB7" s="0"/>
      <c r="AC7" s="0"/>
      <c r="AD7" s="0"/>
      <c r="AE7" s="0"/>
      <c r="AF7" s="10" t="s">
        <f>=XIRR(AF2:AF6,AE2:AE6)</f>
      </c>
      <c r="AG7" s="0"/>
      <c r="AH7" s="11" t="n">
        <v>45910</v>
      </c>
      <c r="AI7" s="8" t="s">
        <f>=-Портфель!J13</f>
      </c>
      <c r="AJ7" s="0" t="s">
        <v>529</v>
      </c>
      <c r="AK7" s="0"/>
      <c r="AL7" s="0"/>
      <c r="AM7" s="0"/>
      <c r="AN7" s="0"/>
      <c r="AO7" s="0"/>
      <c r="AP7" s="0"/>
      <c r="AQ7" s="11" t="n">
        <v>45490</v>
      </c>
      <c r="AR7" s="6" t="n">
        <v>-90</v>
      </c>
      <c r="AS7" s="0" t="s">
        <v>339</v>
      </c>
      <c r="AT7" s="0"/>
      <c r="AU7" s="0"/>
      <c r="AV7" s="0"/>
      <c r="AW7" s="0"/>
      <c r="AX7" s="8" t="s">
        <f>=-SUM(AX2:AX5)</f>
      </c>
      <c r="AY7" s="0" t="s">
        <v>531</v>
      </c>
      <c r="AZ7" s="0"/>
      <c r="BA7" s="8" t="s">
        <f>=-SUM(BA2:BA5)</f>
      </c>
      <c r="BB7" s="0" t="s">
        <v>531</v>
      </c>
      <c r="BC7" s="0"/>
      <c r="BD7" s="0"/>
      <c r="BE7" s="0"/>
      <c r="BF7" s="11" t="n">
        <v>45044</v>
      </c>
      <c r="BG7" s="6" t="n">
        <v>597.8</v>
      </c>
      <c r="BH7" s="0" t="s">
        <v>527</v>
      </c>
      <c r="BI7" s="11" t="n">
        <v>45443</v>
      </c>
      <c r="BJ7" s="6" t="n">
        <v>-69.8</v>
      </c>
      <c r="BK7" s="0" t="s">
        <v>321</v>
      </c>
      <c r="BL7" s="0"/>
      <c r="BM7" s="10" t="s">
        <f>=XIRR(BM2:BM6,BL2:BL6)</f>
      </c>
      <c r="BN7" s="0"/>
      <c r="BO7" s="0"/>
      <c r="BP7" s="0"/>
      <c r="BQ7" s="0"/>
      <c r="BR7" s="0"/>
      <c r="BS7" s="8" t="s">
        <f>=-SUM(BS2:BS5)</f>
      </c>
      <c r="BT7" s="0" t="s">
        <v>531</v>
      </c>
      <c r="BU7" s="0"/>
      <c r="BV7" s="8" t="s">
        <f>=-SUM(BV2:BV5)</f>
      </c>
      <c r="BW7" s="0" t="s">
        <v>531</v>
      </c>
      <c r="BX7" s="0"/>
      <c r="BY7" s="0"/>
      <c r="BZ7" s="0"/>
      <c r="CA7" s="0"/>
      <c r="CB7" s="10" t="s">
        <f>=XIRR(CB2:CB6,CA2:CA6)</f>
      </c>
      <c r="CC7" s="0"/>
      <c r="CD7" s="11" t="n">
        <v>45446</v>
      </c>
      <c r="CE7" s="6" t="n">
        <v>-84.8</v>
      </c>
      <c r="CF7" s="0" t="s">
        <v>322</v>
      </c>
      <c r="CG7" s="0"/>
      <c r="CH7" s="10" t="s">
        <f>=XIRR(CH2:CH6,CG2:CG6)</f>
      </c>
      <c r="CI7" s="0"/>
      <c r="CJ7" s="11" t="n">
        <v>45910</v>
      </c>
      <c r="CK7" s="8" t="s">
        <f>=-Портфель!J31</f>
      </c>
      <c r="CL7" s="0" t="s">
        <v>529</v>
      </c>
      <c r="CM7" s="0"/>
      <c r="CN7" s="0"/>
      <c r="CO7" s="0"/>
      <c r="CP7" s="0"/>
      <c r="CQ7" s="8" t="s">
        <f>=-SUM(CQ2:CQ5)</f>
      </c>
      <c r="CR7" s="0" t="s">
        <v>531</v>
      </c>
      <c r="CS7" s="11" t="n">
        <v>45910</v>
      </c>
      <c r="CT7" s="8" t="s">
        <f>=-Портфель!J34</f>
      </c>
      <c r="CU7" s="0" t="s">
        <v>529</v>
      </c>
      <c r="CV7" s="0"/>
      <c r="CW7" s="8" t="s">
        <f>=-SUM(CW2:CW5)</f>
      </c>
      <c r="CX7" s="0" t="s">
        <v>531</v>
      </c>
      <c r="CY7" s="11" t="n">
        <v>45910</v>
      </c>
      <c r="CZ7" s="8" t="s">
        <f>=-Портфель!J36</f>
      </c>
      <c r="DA7" s="0" t="s">
        <v>529</v>
      </c>
      <c r="DB7" s="0"/>
      <c r="DC7" s="10" t="s">
        <f>=XIRR(DC2:DC6,DB2:DB6)</f>
      </c>
      <c r="DD7" s="0"/>
      <c r="DE7" s="0"/>
      <c r="DF7" s="0"/>
      <c r="DG7" s="0"/>
      <c r="DH7" s="0"/>
      <c r="DI7" s="8" t="s">
        <f>=-SUM(DI2:DI5)</f>
      </c>
      <c r="DJ7" s="0" t="s">
        <v>531</v>
      </c>
      <c r="DK7" s="0"/>
      <c r="DL7" s="0"/>
      <c r="DM7" s="0"/>
      <c r="DN7" s="0"/>
      <c r="DO7" s="10" t="s">
        <f>=XIRR(DO2:DO6,DN2:DN6)</f>
      </c>
      <c r="DP7" s="0"/>
      <c r="DQ7" s="0"/>
      <c r="DR7" s="8" t="s">
        <f>=-SUM(DR2:DR5)</f>
      </c>
      <c r="DS7" s="0" t="s">
        <v>531</v>
      </c>
      <c r="DT7" s="0"/>
      <c r="DU7" s="0"/>
      <c r="DV7" s="0"/>
      <c r="DW7" s="0"/>
      <c r="DX7" s="8" t="s">
        <f>=-SUM(DX2:DX5)</f>
      </c>
      <c r="DY7" s="0" t="s">
        <v>531</v>
      </c>
      <c r="DZ7" s="0"/>
      <c r="EA7" s="0"/>
      <c r="EB7" s="0"/>
      <c r="EC7" s="11" t="n">
        <v>45698</v>
      </c>
      <c r="ED7" s="6" t="n">
        <v>297.44</v>
      </c>
      <c r="EE7" s="0" t="s">
        <v>527</v>
      </c>
      <c r="EF7" s="11" t="n">
        <v>45509</v>
      </c>
      <c r="EG7" s="6" t="n">
        <v>143.52</v>
      </c>
      <c r="EH7" s="0" t="s">
        <v>527</v>
      </c>
      <c r="EI7" s="11" t="n">
        <v>44678</v>
      </c>
      <c r="EJ7" s="6" t="n">
        <v>226.02</v>
      </c>
      <c r="EK7" s="0" t="s">
        <v>527</v>
      </c>
      <c r="EL7" s="11" t="n">
        <v>44830</v>
      </c>
      <c r="EM7" s="6" t="n">
        <v>300.23</v>
      </c>
      <c r="EN7" s="0" t="s">
        <v>527</v>
      </c>
      <c r="EO7" s="11" t="n">
        <v>44687</v>
      </c>
      <c r="EP7" s="6" t="n">
        <v>1487.07</v>
      </c>
      <c r="EQ7" s="0" t="s">
        <v>527</v>
      </c>
      <c r="ER7" s="11" t="n">
        <v>45462</v>
      </c>
      <c r="ES7" s="6" t="s">
        <f>=533.02</f>
      </c>
      <c r="ET7" s="0" t="s">
        <v>527</v>
      </c>
      <c r="EU7" s="11" t="n">
        <v>45700</v>
      </c>
      <c r="EV7" s="6" t="s">
        <f>=-2429</f>
      </c>
      <c r="EW7" s="0" t="s">
        <v>351</v>
      </c>
      <c r="EX7" s="11" t="n">
        <v>45910</v>
      </c>
      <c r="EY7" s="8" t="s">
        <f>=-Портфель!J55</f>
      </c>
      <c r="EZ7" s="0" t="s">
        <v>529</v>
      </c>
      <c r="FA7" s="11" t="n">
        <v>45742</v>
      </c>
      <c r="FB7" s="6" t="s">
        <f>=-1952</f>
      </c>
      <c r="FC7" s="0" t="s">
        <v>370</v>
      </c>
      <c r="FD7" s="11" t="n">
        <v>45749</v>
      </c>
      <c r="FE7" s="6" t="s">
        <f>=-1502.55</f>
      </c>
      <c r="FF7" s="0" t="s">
        <v>377</v>
      </c>
      <c r="FG7" s="0"/>
      <c r="FH7" s="10" t="s">
        <f>=XIRR(FH2:FH6,FG2:FG6)</f>
      </c>
      <c r="FI7" s="0"/>
      <c r="FJ7" s="11" t="n">
        <v>45410</v>
      </c>
      <c r="FK7" s="6" t="s">
        <f>=-29.54</f>
      </c>
      <c r="FL7" s="0" t="s">
        <v>283</v>
      </c>
      <c r="FM7" s="11" t="n">
        <v>45496</v>
      </c>
      <c r="FN7" s="6" t="s">
        <f>=2200.64</f>
      </c>
      <c r="FO7" s="0" t="s">
        <v>527</v>
      </c>
      <c r="FP7" s="0"/>
      <c r="FQ7" s="10" t="s">
        <f>=XIRR(FQ2:FQ6,FP2:FP6)</f>
      </c>
      <c r="FR7" s="0"/>
      <c r="FS7" s="0"/>
      <c r="FT7" s="8" t="s">
        <f>=-SUM(FT2:FT5)</f>
      </c>
      <c r="FU7" s="0" t="s">
        <v>531</v>
      </c>
      <c r="FV7" s="0"/>
      <c r="FW7" s="8" t="s">
        <f>=-SUM(FW2:FW5)</f>
      </c>
      <c r="FX7" s="0" t="s">
        <v>531</v>
      </c>
      <c r="FY7" s="11" t="n">
        <v>45707</v>
      </c>
      <c r="FZ7" s="6" t="s">
        <f>=-532.04</f>
      </c>
      <c r="GA7" s="0" t="s">
        <v>354</v>
      </c>
      <c r="GB7" s="11" t="n">
        <v>45639</v>
      </c>
      <c r="GC7" s="6" t="s">
        <f>=-310.6</f>
      </c>
      <c r="GD7" s="0" t="s">
        <v>367</v>
      </c>
      <c r="GE7" s="11" t="n">
        <v>45910</v>
      </c>
      <c r="GF7" s="8" t="s">
        <f>=-Портфель!J66</f>
      </c>
      <c r="GG7" s="0" t="s">
        <v>529</v>
      </c>
      <c r="GH7" s="0"/>
      <c r="GI7" s="10" t="s">
        <f>=XIRR(GI2:GI6,GH2:GH6)</f>
      </c>
      <c r="GJ7" s="0"/>
      <c r="GK7" s="11" t="n">
        <v>45680</v>
      </c>
      <c r="GL7" s="6" t="s">
        <f>=-175.96</f>
      </c>
      <c r="GM7" s="0" t="s">
        <v>385</v>
      </c>
      <c r="GN7" s="0"/>
      <c r="GO7" s="8" t="s">
        <f>=-SUM(GO2:GO5)</f>
      </c>
      <c r="GP7" s="0" t="s">
        <v>531</v>
      </c>
      <c r="GQ7" s="11" t="n">
        <v>45417</v>
      </c>
      <c r="GR7" s="6" t="s">
        <f>=-10.26</f>
      </c>
      <c r="GS7" s="0" t="s">
        <v>284</v>
      </c>
      <c r="GT7" s="0"/>
      <c r="GU7" s="10" t="s">
        <f>=XIRR(GU2:GU6,GT2:GT6)</f>
      </c>
      <c r="GV7" s="0"/>
      <c r="GW7" s="11" t="n">
        <v>45426</v>
      </c>
      <c r="GX7" s="6" t="s">
        <f>=-114.5</f>
      </c>
      <c r="GY7" s="0" t="s">
        <v>313</v>
      </c>
      <c r="GZ7" s="11" t="n">
        <v>45712</v>
      </c>
      <c r="HA7" s="6" t="s">
        <f>=-79.6</f>
      </c>
      <c r="HB7" s="0" t="s">
        <v>296</v>
      </c>
      <c r="HC7" s="0"/>
      <c r="HD7" s="8" t="s">
        <f>=-SUM(HD2:HD5)</f>
      </c>
      <c r="HE7" s="0" t="s">
        <v>531</v>
      </c>
      <c r="HF7" s="11" t="n">
        <v>45525</v>
      </c>
      <c r="HG7" s="6" t="s">
        <f>=-148.8</f>
      </c>
      <c r="HH7" s="0" t="s">
        <v>353</v>
      </c>
      <c r="HI7" s="11" t="n">
        <v>45903</v>
      </c>
      <c r="HJ7" s="6" t="s">
        <f>=-200.6</f>
      </c>
      <c r="HK7" s="0" t="s">
        <v>299</v>
      </c>
      <c r="HL7" s="11" t="n">
        <v>45589</v>
      </c>
      <c r="HM7" s="6" t="s">
        <f>=-156.52</f>
      </c>
      <c r="HN7" s="0" t="s">
        <v>384</v>
      </c>
      <c r="HO7" s="11" t="n">
        <v>45659</v>
      </c>
      <c r="HP7" s="6" t="s">
        <f>=-102.68</f>
      </c>
      <c r="HQ7" s="0" t="s">
        <v>312</v>
      </c>
      <c r="HR7" s="11" t="n">
        <v>45610</v>
      </c>
      <c r="HS7" s="6" t="s">
        <f>=-173.45</f>
      </c>
      <c r="HT7" s="0" t="s">
        <v>292</v>
      </c>
      <c r="HU7" s="11" t="n">
        <v>45716</v>
      </c>
      <c r="HV7" s="6" t="s">
        <f>=-64.43</f>
      </c>
      <c r="HW7" s="0" t="s">
        <v>297</v>
      </c>
      <c r="HX7" s="11" t="n">
        <v>45473</v>
      </c>
      <c r="HY7" s="6" t="s">
        <f>=-404.11</f>
      </c>
      <c r="HZ7" s="0" t="s">
        <v>332</v>
      </c>
      <c r="IA7" s="11" t="n">
        <v>45741</v>
      </c>
      <c r="IB7" s="6" t="s">
        <f>=-55.32</f>
      </c>
      <c r="IC7" s="0" t="s">
        <v>306</v>
      </c>
      <c r="ID7" s="11" t="n">
        <v>45910</v>
      </c>
      <c r="IE7" s="8" t="s">
        <f>=-Портфель!J83</f>
      </c>
      <c r="IF7" s="0" t="s">
        <v>529</v>
      </c>
      <c r="IG7" s="0"/>
      <c r="IH7" s="10" t="s">
        <f>=XIRR(IH2:IH6,IG2:IG6)</f>
      </c>
      <c r="II7" s="0"/>
      <c r="IJ7" s="11" t="n">
        <v>45566</v>
      </c>
      <c r="IK7" s="6" t="s">
        <f>=-390.7</f>
      </c>
      <c r="IL7" s="0" t="s">
        <v>376</v>
      </c>
      <c r="IM7" s="11" t="n">
        <v>45817</v>
      </c>
      <c r="IN7" s="6" t="s">
        <f>=-70.78</f>
      </c>
      <c r="IO7" s="0" t="s">
        <v>410</v>
      </c>
      <c r="IP7" s="11" t="n">
        <v>45742</v>
      </c>
      <c r="IQ7" s="6" t="s">
        <f>=-63.82</f>
      </c>
      <c r="IR7" s="0" t="s">
        <v>449</v>
      </c>
      <c r="IS7" s="11" t="n">
        <v>45545</v>
      </c>
      <c r="IT7" s="6" t="s">
        <f>=-15.86</f>
      </c>
      <c r="IU7" s="0" t="s">
        <v>362</v>
      </c>
    </row>
    <row collapsed="false" customFormat="false" customHeight="false" hidden="false" ht="12.1" outlineLevel="0" r="8">
      <c r="A8" s="11" t="n">
        <v>45302</v>
      </c>
      <c r="B8" s="6" t="n">
        <v>-80.31</v>
      </c>
      <c r="C8" s="0" t="s">
        <v>286</v>
      </c>
      <c r="D8" s="0"/>
      <c r="E8" s="10" t="s">
        <f>=XIRR(E2:E7,D2:D7)</f>
      </c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45277</v>
      </c>
      <c r="Q8" s="6" t="n">
        <v>-389</v>
      </c>
      <c r="R8" s="0" t="s">
        <v>282</v>
      </c>
      <c r="S8" s="0"/>
      <c r="T8" s="0"/>
      <c r="U8" s="0"/>
      <c r="V8" s="11" t="n">
        <v>45846</v>
      </c>
      <c r="W8" s="6" t="n">
        <v>-284.52</v>
      </c>
      <c r="X8" s="0" t="s">
        <v>492</v>
      </c>
      <c r="Y8" s="0"/>
      <c r="Z8" s="8" t="s">
        <f>=-SUM(Z2:Z6)</f>
      </c>
      <c r="AA8" s="0" t="s">
        <v>531</v>
      </c>
      <c r="AB8" s="0"/>
      <c r="AC8" s="0"/>
      <c r="AD8" s="0"/>
      <c r="AE8" s="0"/>
      <c r="AF8" s="8" t="s">
        <f>=-SUM(AF2:AF6)</f>
      </c>
      <c r="AG8" s="0" t="s">
        <v>531</v>
      </c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11" t="n">
        <v>45910</v>
      </c>
      <c r="AR8" s="8" t="s">
        <f>=-Портфель!J16</f>
      </c>
      <c r="AS8" s="0" t="s">
        <v>529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11" t="n">
        <v>45083</v>
      </c>
      <c r="BG8" s="6" t="n">
        <v>577.29</v>
      </c>
      <c r="BH8" s="0" t="s">
        <v>527</v>
      </c>
      <c r="BI8" s="11" t="n">
        <v>45584</v>
      </c>
      <c r="BJ8" s="6" t="n">
        <v>-86.6</v>
      </c>
      <c r="BK8" s="0" t="s">
        <v>383</v>
      </c>
      <c r="BL8" s="0"/>
      <c r="BM8" s="8" t="s">
        <f>=-SUM(BM2:BM6)</f>
      </c>
      <c r="BN8" s="0" t="s">
        <v>531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8" t="s">
        <f>=-SUM(CB2:CB6)</f>
      </c>
      <c r="CC8" s="0" t="s">
        <v>531</v>
      </c>
      <c r="CD8" s="11" t="n">
        <v>45537</v>
      </c>
      <c r="CE8" s="6" t="n">
        <v>362.69</v>
      </c>
      <c r="CF8" s="0" t="s">
        <v>527</v>
      </c>
      <c r="CG8" s="0"/>
      <c r="CH8" s="8" t="s">
        <f>=-SUM(CH2:CH6)</f>
      </c>
      <c r="CI8" s="0" t="s">
        <v>531</v>
      </c>
      <c r="CJ8" s="0"/>
      <c r="CK8" s="10" t="s">
        <f>=XIRR(CK2:CK7,CJ2:CJ7)</f>
      </c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10" t="s">
        <f>=XIRR(CZ2:CZ7,CY2:CY7)</f>
      </c>
      <c r="DA8" s="0"/>
      <c r="DB8" s="0"/>
      <c r="DC8" s="8" t="s">
        <f>=-SUM(DC2:DC6)</f>
      </c>
      <c r="DD8" s="0" t="s">
        <v>531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531</v>
      </c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11" t="n">
        <v>45783</v>
      </c>
      <c r="ED8" s="6" t="n">
        <v>252.08</v>
      </c>
      <c r="EE8" s="0" t="s">
        <v>527</v>
      </c>
      <c r="EF8" s="11" t="n">
        <v>45526</v>
      </c>
      <c r="EG8" s="6" t="n">
        <v>575.61</v>
      </c>
      <c r="EH8" s="0" t="s">
        <v>527</v>
      </c>
      <c r="EI8" s="11" t="n">
        <v>44685</v>
      </c>
      <c r="EJ8" s="6" t="n">
        <v>109.02</v>
      </c>
      <c r="EK8" s="0" t="s">
        <v>527</v>
      </c>
      <c r="EL8" s="11" t="n">
        <v>44838</v>
      </c>
      <c r="EM8" s="6" t="n">
        <v>-322.37</v>
      </c>
      <c r="EN8" s="0" t="s">
        <v>528</v>
      </c>
      <c r="EO8" s="11" t="n">
        <v>44694</v>
      </c>
      <c r="EP8" s="6" t="n">
        <v>-1844.47</v>
      </c>
      <c r="EQ8" s="0" t="s">
        <v>528</v>
      </c>
      <c r="ER8" s="11" t="n">
        <v>45488</v>
      </c>
      <c r="ES8" s="6" t="s">
        <f>=15854.46</f>
      </c>
      <c r="ET8" s="0" t="s">
        <v>527</v>
      </c>
      <c r="EU8" s="11" t="n">
        <v>45882</v>
      </c>
      <c r="EV8" s="6" t="s">
        <f>=-2429</f>
      </c>
      <c r="EW8" s="0" t="s">
        <v>351</v>
      </c>
      <c r="EX8" s="0"/>
      <c r="EY8" s="10" t="s">
        <f>=XIRR(EY2:EY7,EX2:EX7)</f>
      </c>
      <c r="EZ8" s="0"/>
      <c r="FA8" s="11" t="n">
        <v>45910</v>
      </c>
      <c r="FB8" s="8" t="s">
        <f>=-Портфель!J56</f>
      </c>
      <c r="FC8" s="0" t="s">
        <v>529</v>
      </c>
      <c r="FD8" s="11" t="n">
        <v>45910</v>
      </c>
      <c r="FE8" s="8" t="s">
        <f>=-Портфель!J57</f>
      </c>
      <c r="FF8" s="0" t="s">
        <v>529</v>
      </c>
      <c r="FG8" s="0"/>
      <c r="FH8" s="8" t="s">
        <f>=-SUM(FH2:FH6)</f>
      </c>
      <c r="FI8" s="0" t="s">
        <v>531</v>
      </c>
      <c r="FJ8" s="11" t="n">
        <v>45440</v>
      </c>
      <c r="FK8" s="6" t="s">
        <f>=-29.54</f>
      </c>
      <c r="FL8" s="0" t="s">
        <v>283</v>
      </c>
      <c r="FM8" s="11" t="n">
        <v>45553</v>
      </c>
      <c r="FN8" s="6" t="s">
        <f>=-987.94</f>
      </c>
      <c r="FO8" s="0" t="s">
        <v>368</v>
      </c>
      <c r="FP8" s="0"/>
      <c r="FQ8" s="8" t="s">
        <f>=-SUM(FQ2:FQ6)</f>
      </c>
      <c r="FR8" s="0" t="s">
        <v>531</v>
      </c>
      <c r="FS8" s="0"/>
      <c r="FT8" s="0"/>
      <c r="FU8" s="0"/>
      <c r="FV8" s="0"/>
      <c r="FW8" s="0"/>
      <c r="FX8" s="0"/>
      <c r="FY8" s="11" t="n">
        <v>45798</v>
      </c>
      <c r="FZ8" s="6" t="s">
        <f>=-532.04</f>
      </c>
      <c r="GA8" s="0" t="s">
        <v>354</v>
      </c>
      <c r="GB8" s="11" t="n">
        <v>45730</v>
      </c>
      <c r="GC8" s="6" t="s">
        <f>=-310.6</f>
      </c>
      <c r="GD8" s="0" t="s">
        <v>367</v>
      </c>
      <c r="GE8" s="0"/>
      <c r="GF8" s="10" t="s">
        <f>=XIRR(GF2:GF7,GE2:GE7)</f>
      </c>
      <c r="GG8" s="0"/>
      <c r="GH8" s="0"/>
      <c r="GI8" s="8" t="s">
        <f>=-SUM(GI2:GI6)</f>
      </c>
      <c r="GJ8" s="0" t="s">
        <v>531</v>
      </c>
      <c r="GK8" s="11" t="n">
        <v>45771</v>
      </c>
      <c r="GL8" s="6" t="s">
        <f>=-175.96</f>
      </c>
      <c r="GM8" s="0" t="s">
        <v>385</v>
      </c>
      <c r="GN8" s="0"/>
      <c r="GO8" s="0"/>
      <c r="GP8" s="0"/>
      <c r="GQ8" s="11" t="n">
        <v>45447</v>
      </c>
      <c r="GR8" s="6" t="s">
        <f>=-10.26</f>
      </c>
      <c r="GS8" s="0" t="s">
        <v>284</v>
      </c>
      <c r="GT8" s="0"/>
      <c r="GU8" s="8" t="s">
        <f>=-SUM(GU2:GU6)</f>
      </c>
      <c r="GV8" s="0" t="s">
        <v>531</v>
      </c>
      <c r="GW8" s="11" t="n">
        <v>45456</v>
      </c>
      <c r="GX8" s="6" t="s">
        <f>=-114.5</f>
      </c>
      <c r="GY8" s="0" t="s">
        <v>313</v>
      </c>
      <c r="GZ8" s="11" t="n">
        <v>45803</v>
      </c>
      <c r="HA8" s="6" t="s">
        <f>=-260.2</f>
      </c>
      <c r="HB8" s="0" t="s">
        <v>467</v>
      </c>
      <c r="HC8" s="0"/>
      <c r="HD8" s="0"/>
      <c r="HE8" s="0"/>
      <c r="HF8" s="11" t="n">
        <v>45616</v>
      </c>
      <c r="HG8" s="6" t="s">
        <f>=-148.8</f>
      </c>
      <c r="HH8" s="0" t="s">
        <v>353</v>
      </c>
      <c r="HI8" s="11" t="n">
        <v>45910</v>
      </c>
      <c r="HJ8" s="8" t="s">
        <f>=-Портфель!J76</f>
      </c>
      <c r="HK8" s="0" t="s">
        <v>529</v>
      </c>
      <c r="HL8" s="11" t="n">
        <v>45680</v>
      </c>
      <c r="HM8" s="6" t="s">
        <f>=-156.52</f>
      </c>
      <c r="HN8" s="0" t="s">
        <v>384</v>
      </c>
      <c r="HO8" s="11" t="n">
        <v>45750</v>
      </c>
      <c r="HP8" s="6" t="s">
        <f>=-102.68</f>
      </c>
      <c r="HQ8" s="0" t="s">
        <v>312</v>
      </c>
      <c r="HR8" s="11" t="n">
        <v>45700</v>
      </c>
      <c r="HS8" s="6" t="s">
        <f>=-500</f>
      </c>
      <c r="HT8" s="0" t="s">
        <v>393</v>
      </c>
      <c r="HU8" s="11" t="n">
        <v>45807</v>
      </c>
      <c r="HV8" s="6" t="s">
        <f>=-64.43</f>
      </c>
      <c r="HW8" s="0" t="s">
        <v>297</v>
      </c>
      <c r="HX8" s="11" t="n">
        <v>45474</v>
      </c>
      <c r="HY8" s="6" t="s">
        <f>=-40.06</f>
      </c>
      <c r="HZ8" s="0" t="s">
        <v>315</v>
      </c>
      <c r="IA8" s="11" t="n">
        <v>45832</v>
      </c>
      <c r="IB8" s="6" t="s">
        <f>=-55.32</f>
      </c>
      <c r="IC8" s="0" t="s">
        <v>306</v>
      </c>
      <c r="ID8" s="0"/>
      <c r="IE8" s="10" t="s">
        <f>=XIRR(IE2:IE7,ID2:ID7)</f>
      </c>
      <c r="IF8" s="0"/>
      <c r="IG8" s="0"/>
      <c r="IH8" s="8" t="s">
        <f>=-SUM(IH2:IH6)</f>
      </c>
      <c r="II8" s="0" t="s">
        <v>531</v>
      </c>
      <c r="IJ8" s="11" t="n">
        <v>45567</v>
      </c>
      <c r="IK8" s="6" t="s">
        <f>=-44.6</f>
      </c>
      <c r="IL8" s="0" t="s">
        <v>378</v>
      </c>
      <c r="IM8" s="11" t="n">
        <v>45910</v>
      </c>
      <c r="IN8" s="8" t="s">
        <f>=-Портфель!J86</f>
      </c>
      <c r="IO8" s="0" t="s">
        <v>529</v>
      </c>
      <c r="IP8" s="11" t="n">
        <v>45910</v>
      </c>
      <c r="IQ8" s="8" t="s">
        <f>=-Портфель!J87</f>
      </c>
      <c r="IR8" s="0" t="s">
        <v>529</v>
      </c>
      <c r="IS8" s="11" t="n">
        <v>45546</v>
      </c>
      <c r="IT8" s="6" t="s">
        <f>=-24.63</f>
      </c>
      <c r="IU8" s="0" t="s">
        <v>364</v>
      </c>
    </row>
    <row collapsed="false" customFormat="false" customHeight="false" hidden="false" ht="12.1" outlineLevel="0" r="9">
      <c r="A9" s="11" t="n">
        <v>45482</v>
      </c>
      <c r="B9" s="6" t="n">
        <v>-76.03</v>
      </c>
      <c r="C9" s="0" t="s">
        <v>334</v>
      </c>
      <c r="D9" s="0"/>
      <c r="E9" s="8" t="s">
        <f>=-SUM(E2:E7)</f>
      </c>
      <c r="F9" s="0" t="s">
        <v>531</v>
      </c>
      <c r="G9" s="0"/>
      <c r="H9" s="0"/>
      <c r="I9" s="0"/>
      <c r="J9" s="0"/>
      <c r="K9" s="0"/>
      <c r="L9" s="0"/>
      <c r="M9" s="0"/>
      <c r="N9" s="0"/>
      <c r="O9" s="0"/>
      <c r="P9" s="11" t="n">
        <v>45419</v>
      </c>
      <c r="Q9" s="6" t="n">
        <v>-433</v>
      </c>
      <c r="R9" s="0" t="s">
        <v>317</v>
      </c>
      <c r="S9" s="0"/>
      <c r="T9" s="0"/>
      <c r="U9" s="0"/>
      <c r="V9" s="11" t="n">
        <v>45910</v>
      </c>
      <c r="W9" s="8" t="s">
        <f>=-Портфель!J9</f>
      </c>
      <c r="X9" s="0" t="s">
        <v>529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8" t="s">
        <f>=-SUM(AI2:AI7)</f>
      </c>
      <c r="AJ9" s="0" t="s">
        <v>531</v>
      </c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45118</v>
      </c>
      <c r="BG9" s="6" t="n">
        <v>-35</v>
      </c>
      <c r="BH9" s="0" t="s">
        <v>274</v>
      </c>
      <c r="BI9" s="11" t="n">
        <v>45910</v>
      </c>
      <c r="BJ9" s="8" t="s">
        <f>=-Портфель!J22</f>
      </c>
      <c r="BK9" s="0" t="s">
        <v>529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45817</v>
      </c>
      <c r="CE9" s="6" t="n">
        <v>-123.5</v>
      </c>
      <c r="CF9" s="0" t="s">
        <v>479</v>
      </c>
      <c r="CG9" s="0"/>
      <c r="CH9" s="0"/>
      <c r="CI9" s="0"/>
      <c r="CJ9" s="0"/>
      <c r="CK9" s="8" t="s">
        <f>=-SUM(CK2:CK7)</f>
      </c>
      <c r="CL9" s="0" t="s">
        <v>531</v>
      </c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531</v>
      </c>
      <c r="CV9" s="0"/>
      <c r="CW9" s="0"/>
      <c r="CX9" s="0"/>
      <c r="CY9" s="0"/>
      <c r="CZ9" s="8" t="s">
        <f>=-SUM(CZ2:CZ7)</f>
      </c>
      <c r="DA9" s="0" t="s">
        <v>531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11" t="n">
        <v>45789</v>
      </c>
      <c r="ED9" s="6" t="n">
        <v>252.3</v>
      </c>
      <c r="EE9" s="0" t="s">
        <v>527</v>
      </c>
      <c r="EF9" s="11" t="n">
        <v>45537</v>
      </c>
      <c r="EG9" s="6" t="n">
        <v>143.2</v>
      </c>
      <c r="EH9" s="0" t="s">
        <v>527</v>
      </c>
      <c r="EI9" s="11" t="n">
        <v>44686</v>
      </c>
      <c r="EJ9" s="6" t="n">
        <v>106.02</v>
      </c>
      <c r="EK9" s="0" t="s">
        <v>527</v>
      </c>
      <c r="EL9" s="11" t="n">
        <v>45463</v>
      </c>
      <c r="EM9" s="6" t="n">
        <v>4232.77</v>
      </c>
      <c r="EN9" s="0" t="s">
        <v>527</v>
      </c>
      <c r="EO9" s="11" t="n">
        <v>44697</v>
      </c>
      <c r="EP9" s="6" t="n">
        <v>6075.39</v>
      </c>
      <c r="EQ9" s="0" t="s">
        <v>527</v>
      </c>
      <c r="ER9" s="11" t="n">
        <v>45630</v>
      </c>
      <c r="ES9" s="6" t="s">
        <f>=-2710.2</f>
      </c>
      <c r="ET9" s="0" t="s">
        <v>407</v>
      </c>
      <c r="EU9" s="11" t="n">
        <v>45910</v>
      </c>
      <c r="EV9" s="8" t="s">
        <f>=-Портфель!J54</f>
      </c>
      <c r="EW9" s="0" t="s">
        <v>529</v>
      </c>
      <c r="EX9" s="0"/>
      <c r="EY9" s="8" t="s">
        <f>=-SUM(EY2:EY7)</f>
      </c>
      <c r="EZ9" s="0" t="s">
        <v>531</v>
      </c>
      <c r="FA9" s="0"/>
      <c r="FB9" s="10" t="s">
        <f>=XIRR(FB2:FB8,FA2:FA8)</f>
      </c>
      <c r="FC9" s="0"/>
      <c r="FD9" s="0"/>
      <c r="FE9" s="10" t="s">
        <f>=XIRR(FE2:FE8,FD2:FD8)</f>
      </c>
      <c r="FF9" s="0"/>
      <c r="FG9" s="0"/>
      <c r="FH9" s="0"/>
      <c r="FI9" s="0"/>
      <c r="FJ9" s="11" t="n">
        <v>45470</v>
      </c>
      <c r="FK9" s="6" t="s">
        <f>=-29.54</f>
      </c>
      <c r="FL9" s="0" t="s">
        <v>283</v>
      </c>
      <c r="FM9" s="11" t="n">
        <v>45735</v>
      </c>
      <c r="FN9" s="6" t="s">
        <f>=-987.94</f>
      </c>
      <c r="FO9" s="0" t="s">
        <v>368</v>
      </c>
      <c r="FP9" s="0"/>
      <c r="FQ9" s="0"/>
      <c r="FR9" s="0"/>
      <c r="FS9" s="0"/>
      <c r="FT9" s="0"/>
      <c r="FU9" s="0"/>
      <c r="FV9" s="0"/>
      <c r="FW9" s="0"/>
      <c r="FX9" s="0"/>
      <c r="FY9" s="11" t="n">
        <v>45889</v>
      </c>
      <c r="FZ9" s="6" t="s">
        <f>=-532.04</f>
      </c>
      <c r="GA9" s="0" t="s">
        <v>354</v>
      </c>
      <c r="GB9" s="11" t="n">
        <v>45821</v>
      </c>
      <c r="GC9" s="6" t="s">
        <f>=-310.6</f>
      </c>
      <c r="GD9" s="0" t="s">
        <v>367</v>
      </c>
      <c r="GE9" s="0"/>
      <c r="GF9" s="8" t="s">
        <f>=-SUM(GF2:GF7)</f>
      </c>
      <c r="GG9" s="0" t="s">
        <v>531</v>
      </c>
      <c r="GH9" s="0"/>
      <c r="GI9" s="0"/>
      <c r="GJ9" s="0"/>
      <c r="GK9" s="11" t="n">
        <v>45862</v>
      </c>
      <c r="GL9" s="6" t="s">
        <f>=-175.96</f>
      </c>
      <c r="GM9" s="0" t="s">
        <v>385</v>
      </c>
      <c r="GN9" s="0"/>
      <c r="GO9" s="0"/>
      <c r="GP9" s="0"/>
      <c r="GQ9" s="11" t="n">
        <v>45477</v>
      </c>
      <c r="GR9" s="6" t="s">
        <f>=-10.26</f>
      </c>
      <c r="GS9" s="0" t="s">
        <v>284</v>
      </c>
      <c r="GT9" s="0"/>
      <c r="GU9" s="0"/>
      <c r="GV9" s="0"/>
      <c r="GW9" s="11" t="n">
        <v>45486</v>
      </c>
      <c r="GX9" s="6" t="s">
        <f>=-114.5</f>
      </c>
      <c r="GY9" s="0" t="s">
        <v>313</v>
      </c>
      <c r="GZ9" s="11" t="n">
        <v>45894</v>
      </c>
      <c r="HA9" s="6" t="s">
        <f>=-260.2</f>
      </c>
      <c r="HB9" s="0" t="s">
        <v>467</v>
      </c>
      <c r="HC9" s="0"/>
      <c r="HD9" s="0"/>
      <c r="HE9" s="0"/>
      <c r="HF9" s="11" t="n">
        <v>45707</v>
      </c>
      <c r="HG9" s="6" t="s">
        <f>=-148.8</f>
      </c>
      <c r="HH9" s="0" t="s">
        <v>353</v>
      </c>
      <c r="HI9" s="0"/>
      <c r="HJ9" s="10" t="s">
        <f>=XIRR(HJ2:HJ8,HI2:HI8)</f>
      </c>
      <c r="HK9" s="0"/>
      <c r="HL9" s="11" t="n">
        <v>45771</v>
      </c>
      <c r="HM9" s="6" t="s">
        <f>=-156.52</f>
      </c>
      <c r="HN9" s="0" t="s">
        <v>384</v>
      </c>
      <c r="HO9" s="11" t="n">
        <v>45841</v>
      </c>
      <c r="HP9" s="6" t="s">
        <f>=-102.68</f>
      </c>
      <c r="HQ9" s="0" t="s">
        <v>312</v>
      </c>
      <c r="HR9" s="11" t="n">
        <v>45701</v>
      </c>
      <c r="HS9" s="6" t="s">
        <f>=-156.5</f>
      </c>
      <c r="HT9" s="0" t="s">
        <v>438</v>
      </c>
      <c r="HU9" s="11" t="n">
        <v>45898</v>
      </c>
      <c r="HV9" s="6" t="s">
        <f>=-64.43</f>
      </c>
      <c r="HW9" s="0" t="s">
        <v>297</v>
      </c>
      <c r="HX9" s="11" t="n">
        <v>45504</v>
      </c>
      <c r="HY9" s="6" t="s">
        <f>=-353.5</f>
      </c>
      <c r="HZ9" s="0" t="s">
        <v>344</v>
      </c>
      <c r="IA9" s="11" t="n">
        <v>45910</v>
      </c>
      <c r="IB9" s="8" t="s">
        <f>=-Портфель!J82</f>
      </c>
      <c r="IC9" s="0" t="s">
        <v>529</v>
      </c>
      <c r="ID9" s="0"/>
      <c r="IE9" s="8" t="s">
        <f>=-SUM(IE2:IE7)</f>
      </c>
      <c r="IF9" s="0" t="s">
        <v>531</v>
      </c>
      <c r="IG9" s="0"/>
      <c r="IH9" s="0"/>
      <c r="II9" s="0"/>
      <c r="IJ9" s="11" t="n">
        <v>45597</v>
      </c>
      <c r="IK9" s="6" t="s">
        <f>=-360.3</f>
      </c>
      <c r="IL9" s="0" t="s">
        <v>387</v>
      </c>
      <c r="IM9" s="0"/>
      <c r="IN9" s="10" t="s">
        <f>=XIRR(IN2:IN8,IM2:IM8)</f>
      </c>
      <c r="IO9" s="0"/>
      <c r="IP9" s="0"/>
      <c r="IQ9" s="10" t="s">
        <f>=XIRR(IQ2:IQ8,IP2:IP8)</f>
      </c>
      <c r="IR9" s="0"/>
      <c r="IS9" s="11" t="n">
        <v>45636</v>
      </c>
      <c r="IT9" s="6" t="s">
        <f>=-16.56</f>
      </c>
      <c r="IU9" s="0" t="s">
        <v>413</v>
      </c>
    </row>
    <row collapsed="false" customFormat="false" customHeight="false" hidden="false" ht="12.1" outlineLevel="0" r="10">
      <c r="A10" s="11" t="n">
        <v>45503</v>
      </c>
      <c r="B10" s="6" t="n">
        <v>5068.55</v>
      </c>
      <c r="C10" s="0" t="s">
        <v>527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45643</v>
      </c>
      <c r="Q10" s="6" t="n">
        <v>-447</v>
      </c>
      <c r="R10" s="0" t="s">
        <v>418</v>
      </c>
      <c r="S10" s="0"/>
      <c r="T10" s="0"/>
      <c r="U10" s="0"/>
      <c r="V10" s="0"/>
      <c r="W10" s="10" t="s">
        <f>=XIRR(W2:W9,V2:V9)</f>
      </c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531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45191</v>
      </c>
      <c r="BG10" s="6" t="n">
        <v>-56</v>
      </c>
      <c r="BH10" s="0" t="s">
        <v>278</v>
      </c>
      <c r="BI10" s="0"/>
      <c r="BJ10" s="10" t="s">
        <f>=XIRR(BJ2:BJ9,BI2:BI9)</f>
      </c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45910</v>
      </c>
      <c r="CE10" s="8" t="s">
        <f>=-Портфель!J29</f>
      </c>
      <c r="CF10" s="0" t="s">
        <v>529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45790</v>
      </c>
      <c r="ED10" s="6" t="n">
        <v>374.88</v>
      </c>
      <c r="EE10" s="0" t="s">
        <v>527</v>
      </c>
      <c r="EF10" s="11" t="n">
        <v>45547</v>
      </c>
      <c r="EG10" s="6" t="n">
        <v>3020.71</v>
      </c>
      <c r="EH10" s="0" t="s">
        <v>527</v>
      </c>
      <c r="EI10" s="11" t="n">
        <v>44693</v>
      </c>
      <c r="EJ10" s="6" t="n">
        <v>83.84</v>
      </c>
      <c r="EK10" s="0" t="s">
        <v>527</v>
      </c>
      <c r="EL10" s="11" t="n">
        <v>45527</v>
      </c>
      <c r="EM10" s="6" t="n">
        <v>3755.63</v>
      </c>
      <c r="EN10" s="0" t="s">
        <v>527</v>
      </c>
      <c r="EO10" s="11" t="n">
        <v>44700</v>
      </c>
      <c r="EP10" s="6" t="n">
        <v>-3674.88</v>
      </c>
      <c r="EQ10" s="0" t="s">
        <v>528</v>
      </c>
      <c r="ER10" s="11" t="n">
        <v>45812</v>
      </c>
      <c r="ES10" s="6" t="s">
        <f>=-2710.2</f>
      </c>
      <c r="ET10" s="0" t="s">
        <v>407</v>
      </c>
      <c r="EU10" s="0"/>
      <c r="EV10" s="10" t="s">
        <f>=XIRR(EV2:EV9,EU2:EU9)</f>
      </c>
      <c r="EW10" s="0"/>
      <c r="EX10" s="0"/>
      <c r="EY10" s="0"/>
      <c r="EZ10" s="0"/>
      <c r="FA10" s="0"/>
      <c r="FB10" s="8" t="s">
        <f>=-SUM(FB2:FB8)</f>
      </c>
      <c r="FC10" s="0" t="s">
        <v>531</v>
      </c>
      <c r="FD10" s="0"/>
      <c r="FE10" s="8" t="s">
        <f>=-SUM(FE2:FE8)</f>
      </c>
      <c r="FF10" s="0" t="s">
        <v>531</v>
      </c>
      <c r="FG10" s="0"/>
      <c r="FH10" s="0"/>
      <c r="FI10" s="0"/>
      <c r="FJ10" s="11" t="n">
        <v>45496</v>
      </c>
      <c r="FK10" s="6" t="s">
        <f>=4484.4</f>
      </c>
      <c r="FL10" s="0" t="s">
        <v>527</v>
      </c>
      <c r="FM10" s="11" t="n">
        <v>45910</v>
      </c>
      <c r="FN10" s="8" t="s">
        <f>=-Портфель!J60</f>
      </c>
      <c r="FO10" s="0" t="s">
        <v>529</v>
      </c>
      <c r="FP10" s="0"/>
      <c r="FQ10" s="0"/>
      <c r="FR10" s="0"/>
      <c r="FS10" s="0"/>
      <c r="FT10" s="0"/>
      <c r="FU10" s="0"/>
      <c r="FV10" s="0"/>
      <c r="FW10" s="0"/>
      <c r="FX10" s="0"/>
      <c r="FY10" s="11" t="n">
        <v>45910</v>
      </c>
      <c r="FZ10" s="8" t="s">
        <f>=-Портфель!J64</f>
      </c>
      <c r="GA10" s="0" t="s">
        <v>529</v>
      </c>
      <c r="GB10" s="11" t="n">
        <v>45910</v>
      </c>
      <c r="GC10" s="8" t="s">
        <f>=-Портфель!J65</f>
      </c>
      <c r="GD10" s="0" t="s">
        <v>529</v>
      </c>
      <c r="GE10" s="0"/>
      <c r="GF10" s="0"/>
      <c r="GG10" s="0"/>
      <c r="GH10" s="0"/>
      <c r="GI10" s="0"/>
      <c r="GJ10" s="0"/>
      <c r="GK10" s="11" t="n">
        <v>45910</v>
      </c>
      <c r="GL10" s="8" t="s">
        <f>=-Портфель!J68</f>
      </c>
      <c r="GM10" s="0" t="s">
        <v>529</v>
      </c>
      <c r="GN10" s="0"/>
      <c r="GO10" s="0"/>
      <c r="GP10" s="0"/>
      <c r="GQ10" s="11" t="n">
        <v>45496</v>
      </c>
      <c r="GR10" s="6" t="s">
        <f>=2712.7</f>
      </c>
      <c r="GS10" s="0" t="s">
        <v>527</v>
      </c>
      <c r="GT10" s="0"/>
      <c r="GU10" s="0"/>
      <c r="GV10" s="0"/>
      <c r="GW10" s="11" t="n">
        <v>45516</v>
      </c>
      <c r="GX10" s="6" t="s">
        <f>=-114.5</f>
      </c>
      <c r="GY10" s="0" t="s">
        <v>313</v>
      </c>
      <c r="GZ10" s="11" t="n">
        <v>45910</v>
      </c>
      <c r="HA10" s="8" t="s">
        <f>=-Портфель!J73</f>
      </c>
      <c r="HB10" s="0" t="s">
        <v>529</v>
      </c>
      <c r="HC10" s="0"/>
      <c r="HD10" s="0"/>
      <c r="HE10" s="0"/>
      <c r="HF10" s="11" t="n">
        <v>45798</v>
      </c>
      <c r="HG10" s="6" t="s">
        <f>=-148.8</f>
      </c>
      <c r="HH10" s="0" t="s">
        <v>353</v>
      </c>
      <c r="HI10" s="0"/>
      <c r="HJ10" s="8" t="s">
        <f>=-SUM(HJ2:HJ8)</f>
      </c>
      <c r="HK10" s="0" t="s">
        <v>531</v>
      </c>
      <c r="HL10" s="11" t="n">
        <v>45862</v>
      </c>
      <c r="HM10" s="6" t="s">
        <f>=-278.12</f>
      </c>
      <c r="HN10" s="0" t="s">
        <v>504</v>
      </c>
      <c r="HO10" s="11" t="n">
        <v>45910</v>
      </c>
      <c r="HP10" s="8" t="s">
        <f>=-Портфель!J78</f>
      </c>
      <c r="HQ10" s="0" t="s">
        <v>529</v>
      </c>
      <c r="HR10" s="11" t="n">
        <v>45792</v>
      </c>
      <c r="HS10" s="6" t="s">
        <f>=-138.55</f>
      </c>
      <c r="HT10" s="0" t="s">
        <v>464</v>
      </c>
      <c r="HU10" s="11" t="n">
        <v>45910</v>
      </c>
      <c r="HV10" s="8" t="s">
        <f>=-Портфель!J80</f>
      </c>
      <c r="HW10" s="0" t="s">
        <v>529</v>
      </c>
      <c r="HX10" s="11" t="n">
        <v>45505</v>
      </c>
      <c r="HY10" s="6" t="s">
        <f>=-38.8</f>
      </c>
      <c r="HZ10" s="0" t="s">
        <v>347</v>
      </c>
      <c r="IA10" s="0"/>
      <c r="IB10" s="10" t="s">
        <f>=XIRR(IB2:IB9,IA2:IA9)</f>
      </c>
      <c r="IC10" s="0"/>
      <c r="ID10" s="0"/>
      <c r="IE10" s="0"/>
      <c r="IF10" s="0"/>
      <c r="IG10" s="0"/>
      <c r="IH10" s="0"/>
      <c r="II10" s="0"/>
      <c r="IJ10" s="11" t="n">
        <v>45598</v>
      </c>
      <c r="IK10" s="6" t="s">
        <f>=-43.7</f>
      </c>
      <c r="IL10" s="0" t="s">
        <v>390</v>
      </c>
      <c r="IM10" s="0"/>
      <c r="IN10" s="8" t="s">
        <f>=-SUM(IN2:IN8)</f>
      </c>
      <c r="IO10" s="0" t="s">
        <v>531</v>
      </c>
      <c r="IP10" s="0"/>
      <c r="IQ10" s="8" t="s">
        <f>=-SUM(IQ2:IQ8)</f>
      </c>
      <c r="IR10" s="0" t="s">
        <v>531</v>
      </c>
      <c r="IS10" s="11" t="n">
        <v>45637</v>
      </c>
      <c r="IT10" s="6" t="s">
        <f>=-27.13</f>
      </c>
      <c r="IU10" s="0" t="s">
        <v>414</v>
      </c>
    </row>
    <row collapsed="false" customFormat="false" customHeight="false" hidden="false" ht="12.1" outlineLevel="0" r="11">
      <c r="A11" s="11" t="n">
        <v>45594</v>
      </c>
      <c r="B11" s="6" t="n">
        <v>44345.45</v>
      </c>
      <c r="C11" s="0" t="s">
        <v>527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45811</v>
      </c>
      <c r="Q11" s="6" t="n">
        <v>-471</v>
      </c>
      <c r="R11" s="0" t="s">
        <v>474</v>
      </c>
      <c r="S11" s="0"/>
      <c r="T11" s="0"/>
      <c r="U11" s="0"/>
      <c r="V11" s="0"/>
      <c r="W11" s="8" t="s">
        <f>=-SUM(W2:W9)</f>
      </c>
      <c r="X11" s="0" t="s">
        <v>531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45269</v>
      </c>
      <c r="BG11" s="6" t="n">
        <v>-66</v>
      </c>
      <c r="BH11" s="0" t="s">
        <v>281</v>
      </c>
      <c r="BI11" s="0"/>
      <c r="BJ11" s="8" t="s">
        <f>=-SUM(BJ2:BJ9)</f>
      </c>
      <c r="BK11" s="0" t="s">
        <v>531</v>
      </c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10" t="s">
        <f>=XIRR(CE2:CE10,CD2:CD10)</f>
      </c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45910</v>
      </c>
      <c r="ED11" s="8" t="s">
        <f>=-Портфель!J47</f>
      </c>
      <c r="EE11" s="0" t="s">
        <v>529</v>
      </c>
      <c r="EF11" s="11" t="n">
        <v>45551</v>
      </c>
      <c r="EG11" s="6" t="n">
        <v>15236.17</v>
      </c>
      <c r="EH11" s="0" t="s">
        <v>527</v>
      </c>
      <c r="EI11" s="11" t="n">
        <v>44706</v>
      </c>
      <c r="EJ11" s="6" t="n">
        <v>566.29</v>
      </c>
      <c r="EK11" s="0" t="s">
        <v>527</v>
      </c>
      <c r="EL11" s="11" t="n">
        <v>45537</v>
      </c>
      <c r="EM11" s="6" t="n">
        <v>487.55</v>
      </c>
      <c r="EN11" s="0" t="s">
        <v>527</v>
      </c>
      <c r="EO11" s="11" t="n">
        <v>44705</v>
      </c>
      <c r="EP11" s="6" t="n">
        <v>-2069.1</v>
      </c>
      <c r="EQ11" s="0" t="s">
        <v>528</v>
      </c>
      <c r="ER11" s="11" t="n">
        <v>45910</v>
      </c>
      <c r="ES11" s="8" t="s">
        <f>=-Портфель!J53</f>
      </c>
      <c r="ET11" s="0" t="s">
        <v>529</v>
      </c>
      <c r="EU11" s="0"/>
      <c r="EV11" s="8" t="s">
        <f>=-SUM(EV2:EV9)</f>
      </c>
      <c r="EW11" s="0" t="s">
        <v>531</v>
      </c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11" t="n">
        <v>45500</v>
      </c>
      <c r="FK11" s="6" t="s">
        <f>=-77.44</f>
      </c>
      <c r="FL11" s="0" t="s">
        <v>343</v>
      </c>
      <c r="FM11" s="0"/>
      <c r="FN11" s="10" t="s">
        <f>=XIRR(FN2:FN10,FM2:FM10)</f>
      </c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10" t="s">
        <f>=XIRR(FZ2:FZ10,FY2:FY10)</f>
      </c>
      <c r="GA11" s="0"/>
      <c r="GB11" s="0"/>
      <c r="GC11" s="10" t="s">
        <f>=XIRR(GC2:GC10,GB2:GB10)</f>
      </c>
      <c r="GD11" s="0"/>
      <c r="GE11" s="0"/>
      <c r="GF11" s="0"/>
      <c r="GG11" s="0"/>
      <c r="GH11" s="0"/>
      <c r="GI11" s="0"/>
      <c r="GJ11" s="0"/>
      <c r="GK11" s="0"/>
      <c r="GL11" s="10" t="s">
        <f>=XIRR(GL2:GL10,GK2:GK10)</f>
      </c>
      <c r="GM11" s="0"/>
      <c r="GN11" s="0"/>
      <c r="GO11" s="0"/>
      <c r="GP11" s="0"/>
      <c r="GQ11" s="11" t="n">
        <v>45507</v>
      </c>
      <c r="GR11" s="6" t="s">
        <f>=-39.04</f>
      </c>
      <c r="GS11" s="0" t="s">
        <v>350</v>
      </c>
      <c r="GT11" s="0"/>
      <c r="GU11" s="0"/>
      <c r="GV11" s="0"/>
      <c r="GW11" s="11" t="n">
        <v>45546</v>
      </c>
      <c r="GX11" s="6" t="s">
        <f>=-114.5</f>
      </c>
      <c r="GY11" s="0" t="s">
        <v>313</v>
      </c>
      <c r="GZ11" s="0"/>
      <c r="HA11" s="10" t="s">
        <f>=XIRR(HA2:HA10,GZ2:GZ10)</f>
      </c>
      <c r="HB11" s="0"/>
      <c r="HC11" s="0"/>
      <c r="HD11" s="0"/>
      <c r="HE11" s="0"/>
      <c r="HF11" s="11" t="n">
        <v>45889</v>
      </c>
      <c r="HG11" s="6" t="s">
        <f>=-148.8</f>
      </c>
      <c r="HH11" s="0" t="s">
        <v>353</v>
      </c>
      <c r="HI11" s="0"/>
      <c r="HJ11" s="0"/>
      <c r="HK11" s="0"/>
      <c r="HL11" s="11" t="n">
        <v>45910</v>
      </c>
      <c r="HM11" s="8" t="s">
        <f>=-Портфель!J77</f>
      </c>
      <c r="HN11" s="0" t="s">
        <v>529</v>
      </c>
      <c r="HO11" s="0"/>
      <c r="HP11" s="10" t="s">
        <f>=XIRR(HP2:HP10,HO2:HO10)</f>
      </c>
      <c r="HQ11" s="0"/>
      <c r="HR11" s="11" t="n">
        <v>45883</v>
      </c>
      <c r="HS11" s="6" t="s">
        <f>=-138.55</f>
      </c>
      <c r="HT11" s="0" t="s">
        <v>464</v>
      </c>
      <c r="HU11" s="0"/>
      <c r="HV11" s="10" t="s">
        <f>=XIRR(HV2:HV10,HU2:HU10)</f>
      </c>
      <c r="HW11" s="0"/>
      <c r="HX11" s="11" t="n">
        <v>45535</v>
      </c>
      <c r="HY11" s="6" t="s">
        <f>=-386.68</f>
      </c>
      <c r="HZ11" s="0" t="s">
        <v>355</v>
      </c>
      <c r="IA11" s="0"/>
      <c r="IB11" s="8" t="s">
        <f>=-SUM(IB2:IB9)</f>
      </c>
      <c r="IC11" s="0" t="s">
        <v>531</v>
      </c>
      <c r="ID11" s="0"/>
      <c r="IE11" s="0"/>
      <c r="IF11" s="0"/>
      <c r="IG11" s="0"/>
      <c r="IH11" s="0"/>
      <c r="II11" s="0"/>
      <c r="IJ11" s="11" t="n">
        <v>45627</v>
      </c>
      <c r="IK11" s="6" t="s">
        <f>=-363.7</f>
      </c>
      <c r="IL11" s="0" t="s">
        <v>401</v>
      </c>
      <c r="IM11" s="0"/>
      <c r="IN11" s="0"/>
      <c r="IO11" s="0"/>
      <c r="IP11" s="0"/>
      <c r="IQ11" s="0"/>
      <c r="IR11" s="0"/>
      <c r="IS11" s="11" t="n">
        <v>45727</v>
      </c>
      <c r="IT11" s="6" t="s">
        <f>=-17.25</f>
      </c>
      <c r="IU11" s="0" t="s">
        <v>445</v>
      </c>
    </row>
    <row collapsed="false" customFormat="false" customHeight="false" hidden="false" ht="12.1" outlineLevel="0" r="12">
      <c r="A12" s="11" t="n">
        <v>45623</v>
      </c>
      <c r="B12" s="6" t="n">
        <v>1873.1</v>
      </c>
      <c r="C12" s="0" t="s">
        <v>527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45910</v>
      </c>
      <c r="Q12" s="8" t="s">
        <f>=-Портфель!J7</f>
      </c>
      <c r="R12" s="0" t="s">
        <v>529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45481</v>
      </c>
      <c r="BG12" s="6" t="n">
        <v>-35</v>
      </c>
      <c r="BH12" s="0" t="s">
        <v>274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8" t="s">
        <f>=-SUM(CE2:CE10)</f>
      </c>
      <c r="CF12" s="0" t="s">
        <v>531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10" t="s">
        <f>=XIRR(ED2:ED11,EC2:EC11)</f>
      </c>
      <c r="EE12" s="0"/>
      <c r="EF12" s="11" t="n">
        <v>45553</v>
      </c>
      <c r="EG12" s="6" t="n">
        <v>1578.55</v>
      </c>
      <c r="EH12" s="0" t="s">
        <v>527</v>
      </c>
      <c r="EI12" s="11" t="n">
        <v>44722</v>
      </c>
      <c r="EJ12" s="6" t="n">
        <v>183.72</v>
      </c>
      <c r="EK12" s="0" t="s">
        <v>527</v>
      </c>
      <c r="EL12" s="11" t="n">
        <v>45594</v>
      </c>
      <c r="EM12" s="6" t="n">
        <v>733.42</v>
      </c>
      <c r="EN12" s="0" t="s">
        <v>527</v>
      </c>
      <c r="EO12" s="11" t="n">
        <v>44707</v>
      </c>
      <c r="EP12" s="6" t="n">
        <v>2014.6</v>
      </c>
      <c r="EQ12" s="0" t="s">
        <v>527</v>
      </c>
      <c r="ER12" s="0"/>
      <c r="ES12" s="10" t="s">
        <f>=XIRR(ES2:ES11,ER2:ER11)</f>
      </c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11" t="n">
        <v>45530</v>
      </c>
      <c r="FK12" s="6" t="s">
        <f>=-77.44</f>
      </c>
      <c r="FL12" s="0" t="s">
        <v>343</v>
      </c>
      <c r="FM12" s="0"/>
      <c r="FN12" s="8" t="s">
        <f>=-SUM(FN2:FN10)</f>
      </c>
      <c r="FO12" s="0" t="s">
        <v>531</v>
      </c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8" t="s">
        <f>=-SUM(FZ2:FZ10)</f>
      </c>
      <c r="GA12" s="0" t="s">
        <v>531</v>
      </c>
      <c r="GB12" s="0"/>
      <c r="GC12" s="8" t="s">
        <f>=-SUM(GC2:GC10)</f>
      </c>
      <c r="GD12" s="0" t="s">
        <v>531</v>
      </c>
      <c r="GE12" s="0"/>
      <c r="GF12" s="0"/>
      <c r="GG12" s="0"/>
      <c r="GH12" s="0"/>
      <c r="GI12" s="0"/>
      <c r="GJ12" s="0"/>
      <c r="GK12" s="0"/>
      <c r="GL12" s="8" t="s">
        <f>=-SUM(GL2:GL10)</f>
      </c>
      <c r="GM12" s="0" t="s">
        <v>531</v>
      </c>
      <c r="GN12" s="0"/>
      <c r="GO12" s="0"/>
      <c r="GP12" s="0"/>
      <c r="GQ12" s="11" t="n">
        <v>45509</v>
      </c>
      <c r="GR12" s="6" t="s">
        <f>=2752.28</f>
      </c>
      <c r="GS12" s="0" t="s">
        <v>527</v>
      </c>
      <c r="GT12" s="0"/>
      <c r="GU12" s="0"/>
      <c r="GV12" s="0"/>
      <c r="GW12" s="11" t="n">
        <v>45576</v>
      </c>
      <c r="GX12" s="6" t="s">
        <f>=-114.5</f>
      </c>
      <c r="GY12" s="0" t="s">
        <v>313</v>
      </c>
      <c r="GZ12" s="0"/>
      <c r="HA12" s="8" t="s">
        <f>=-SUM(HA2:HA10)</f>
      </c>
      <c r="HB12" s="0" t="s">
        <v>531</v>
      </c>
      <c r="HC12" s="0"/>
      <c r="HD12" s="0"/>
      <c r="HE12" s="0"/>
      <c r="HF12" s="11" t="n">
        <v>45910</v>
      </c>
      <c r="HG12" s="8" t="s">
        <f>=-Портфель!J75</f>
      </c>
      <c r="HH12" s="0" t="s">
        <v>529</v>
      </c>
      <c r="HI12" s="0"/>
      <c r="HJ12" s="0"/>
      <c r="HK12" s="0"/>
      <c r="HL12" s="0"/>
      <c r="HM12" s="10" t="s">
        <f>=XIRR(HM2:HM11,HL2:HL11)</f>
      </c>
      <c r="HN12" s="0"/>
      <c r="HO12" s="0"/>
      <c r="HP12" s="8" t="s">
        <f>=-SUM(HP2:HP10)</f>
      </c>
      <c r="HQ12" s="0" t="s">
        <v>531</v>
      </c>
      <c r="HR12" s="11" t="n">
        <v>45910</v>
      </c>
      <c r="HS12" s="8" t="s">
        <f>=-Портфель!J79</f>
      </c>
      <c r="HT12" s="0" t="s">
        <v>529</v>
      </c>
      <c r="HU12" s="0"/>
      <c r="HV12" s="8" t="s">
        <f>=-SUM(HV2:HV10)</f>
      </c>
      <c r="HW12" s="0" t="s">
        <v>531</v>
      </c>
      <c r="HX12" s="11" t="n">
        <v>45536</v>
      </c>
      <c r="HY12" s="6" t="s">
        <f>=-36.42</f>
      </c>
      <c r="HZ12" s="0" t="s">
        <v>356</v>
      </c>
      <c r="IA12" s="0"/>
      <c r="IB12" s="0"/>
      <c r="IC12" s="0"/>
      <c r="ID12" s="0"/>
      <c r="IE12" s="0"/>
      <c r="IF12" s="0"/>
      <c r="IG12" s="0"/>
      <c r="IH12" s="0"/>
      <c r="II12" s="0"/>
      <c r="IJ12" s="11" t="n">
        <v>45628</v>
      </c>
      <c r="IK12" s="6" t="s">
        <f>=-38.8</f>
      </c>
      <c r="IL12" s="0" t="s">
        <v>403</v>
      </c>
      <c r="IM12" s="0"/>
      <c r="IN12" s="0"/>
      <c r="IO12" s="0"/>
      <c r="IP12" s="0"/>
      <c r="IQ12" s="0"/>
      <c r="IR12" s="0"/>
      <c r="IS12" s="11" t="n">
        <v>45728</v>
      </c>
      <c r="IT12" s="6" t="s">
        <f>=-29.99</f>
      </c>
      <c r="IU12" s="0" t="s">
        <v>446</v>
      </c>
    </row>
    <row collapsed="false" customFormat="false" customHeight="false" hidden="false" ht="12.1" outlineLevel="0" r="13">
      <c r="A13" s="11" t="n">
        <v>45667</v>
      </c>
      <c r="B13" s="6" t="n">
        <v>-3711.99</v>
      </c>
      <c r="C13" s="0" t="s">
        <v>429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45481</v>
      </c>
      <c r="BG13" s="6" t="n">
        <v>-35</v>
      </c>
      <c r="BH13" s="0" t="s">
        <v>274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8" t="s">
        <f>=-SUM(ED2:ED11)</f>
      </c>
      <c r="EE13" s="0" t="s">
        <v>531</v>
      </c>
      <c r="EF13" s="11" t="n">
        <v>45567</v>
      </c>
      <c r="EG13" s="6" t="n">
        <v>289.09</v>
      </c>
      <c r="EH13" s="0" t="s">
        <v>527</v>
      </c>
      <c r="EI13" s="11" t="n">
        <v>44726</v>
      </c>
      <c r="EJ13" s="6" t="n">
        <v>197.93</v>
      </c>
      <c r="EK13" s="0" t="s">
        <v>527</v>
      </c>
      <c r="EL13" s="11" t="n">
        <v>45622</v>
      </c>
      <c r="EM13" s="6" t="n">
        <v>7073.12</v>
      </c>
      <c r="EN13" s="0" t="s">
        <v>527</v>
      </c>
      <c r="EO13" s="11" t="n">
        <v>44712</v>
      </c>
      <c r="EP13" s="6" t="n">
        <v>-921.6</v>
      </c>
      <c r="EQ13" s="0" t="s">
        <v>528</v>
      </c>
      <c r="ER13" s="0"/>
      <c r="ES13" s="8" t="s">
        <f>=-SUM(ES2:ES11)</f>
      </c>
      <c r="ET13" s="0" t="s">
        <v>531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11" t="n">
        <v>45560</v>
      </c>
      <c r="FK13" s="6" t="s">
        <f>=-77.44</f>
      </c>
      <c r="FL13" s="0" t="s">
        <v>343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11" t="n">
        <v>45537</v>
      </c>
      <c r="GR13" s="6" t="s">
        <f>=-68.82</f>
      </c>
      <c r="GS13" s="0" t="s">
        <v>358</v>
      </c>
      <c r="GT13" s="0"/>
      <c r="GU13" s="0"/>
      <c r="GV13" s="0"/>
      <c r="GW13" s="11" t="n">
        <v>45605</v>
      </c>
      <c r="GX13" s="6" t="s">
        <f>=-400</f>
      </c>
      <c r="GY13" s="0" t="s">
        <v>391</v>
      </c>
      <c r="GZ13" s="0"/>
      <c r="HA13" s="0"/>
      <c r="HB13" s="0"/>
      <c r="HC13" s="0"/>
      <c r="HD13" s="0"/>
      <c r="HE13" s="0"/>
      <c r="HF13" s="0"/>
      <c r="HG13" s="10" t="s">
        <f>=XIRR(HG2:HG12,HF2:HF12)</f>
      </c>
      <c r="HH13" s="0"/>
      <c r="HI13" s="0"/>
      <c r="HJ13" s="0"/>
      <c r="HK13" s="0"/>
      <c r="HL13" s="0"/>
      <c r="HM13" s="8" t="s">
        <f>=-SUM(HM2:HM11)</f>
      </c>
      <c r="HN13" s="0" t="s">
        <v>531</v>
      </c>
      <c r="HO13" s="0"/>
      <c r="HP13" s="0"/>
      <c r="HQ13" s="0"/>
      <c r="HR13" s="0"/>
      <c r="HS13" s="10" t="s">
        <f>=XIRR(HS2:HS12,HR2:HR12)</f>
      </c>
      <c r="HT13" s="0"/>
      <c r="HU13" s="0"/>
      <c r="HV13" s="0"/>
      <c r="HW13" s="0"/>
      <c r="HX13" s="11" t="n">
        <v>45565</v>
      </c>
      <c r="HY13" s="6" t="s">
        <f>=-339.43</f>
      </c>
      <c r="HZ13" s="0" t="s">
        <v>374</v>
      </c>
      <c r="IA13" s="0"/>
      <c r="IB13" s="0"/>
      <c r="IC13" s="0"/>
      <c r="ID13" s="0"/>
      <c r="IE13" s="0"/>
      <c r="IF13" s="0"/>
      <c r="IG13" s="0"/>
      <c r="IH13" s="0"/>
      <c r="II13" s="0"/>
      <c r="IJ13" s="11" t="n">
        <v>45658</v>
      </c>
      <c r="IK13" s="6" t="s">
        <f>=-359.8</f>
      </c>
      <c r="IL13" s="0" t="s">
        <v>422</v>
      </c>
      <c r="IM13" s="0"/>
      <c r="IN13" s="0"/>
      <c r="IO13" s="0"/>
      <c r="IP13" s="0"/>
      <c r="IQ13" s="0"/>
      <c r="IR13" s="0"/>
      <c r="IS13" s="11" t="n">
        <v>45818</v>
      </c>
      <c r="IT13" s="6" t="s">
        <f>=-17.38</f>
      </c>
      <c r="IU13" s="0" t="s">
        <v>481</v>
      </c>
    </row>
    <row collapsed="false" customFormat="false" customHeight="false" hidden="false" ht="12.1" outlineLevel="0" r="14">
      <c r="A14" s="11" t="n">
        <v>45858</v>
      </c>
      <c r="B14" s="6" t="n">
        <v>-1494.56</v>
      </c>
      <c r="C14" s="0" t="s">
        <v>503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531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45571</v>
      </c>
      <c r="BG14" s="6" t="n">
        <v>-35</v>
      </c>
      <c r="BH14" s="0" t="s">
        <v>274</v>
      </c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45568</v>
      </c>
      <c r="EG14" s="6" t="n">
        <v>433.13</v>
      </c>
      <c r="EH14" s="0" t="s">
        <v>527</v>
      </c>
      <c r="EI14" s="11" t="n">
        <v>44893</v>
      </c>
      <c r="EJ14" s="6" t="n">
        <v>-1981.2</v>
      </c>
      <c r="EK14" s="0" t="s">
        <v>528</v>
      </c>
      <c r="EL14" s="11" t="n">
        <v>45636</v>
      </c>
      <c r="EM14" s="6" t="n">
        <v>479.54</v>
      </c>
      <c r="EN14" s="0" t="s">
        <v>527</v>
      </c>
      <c r="EO14" s="11" t="n">
        <v>44713</v>
      </c>
      <c r="EP14" s="6" t="n">
        <v>-115.23</v>
      </c>
      <c r="EQ14" s="0" t="s">
        <v>528</v>
      </c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11" t="n">
        <v>45590</v>
      </c>
      <c r="FK14" s="6" t="s">
        <f>=-77.44</f>
      </c>
      <c r="FL14" s="0" t="s">
        <v>343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11" t="n">
        <v>45567</v>
      </c>
      <c r="GR14" s="6" t="s">
        <f>=-68.82</f>
      </c>
      <c r="GS14" s="0" t="s">
        <v>358</v>
      </c>
      <c r="GT14" s="0"/>
      <c r="GU14" s="0"/>
      <c r="GV14" s="0"/>
      <c r="GW14" s="11" t="n">
        <v>45606</v>
      </c>
      <c r="GX14" s="6" t="s">
        <f>=-114.5</f>
      </c>
      <c r="GY14" s="0" t="s">
        <v>313</v>
      </c>
      <c r="GZ14" s="0"/>
      <c r="HA14" s="0"/>
      <c r="HB14" s="0"/>
      <c r="HC14" s="0"/>
      <c r="HD14" s="0"/>
      <c r="HE14" s="0"/>
      <c r="HF14" s="0"/>
      <c r="HG14" s="8" t="s">
        <f>=-SUM(HG2:HG12)</f>
      </c>
      <c r="HH14" s="0" t="s">
        <v>531</v>
      </c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8" t="s">
        <f>=-SUM(HS2:HS12)</f>
      </c>
      <c r="HT14" s="0" t="s">
        <v>531</v>
      </c>
      <c r="HU14" s="0"/>
      <c r="HV14" s="0"/>
      <c r="HW14" s="0"/>
      <c r="HX14" s="11" t="n">
        <v>45566</v>
      </c>
      <c r="HY14" s="6" t="s">
        <f>=-33.5</f>
      </c>
      <c r="HZ14" s="0" t="s">
        <v>375</v>
      </c>
      <c r="IA14" s="0"/>
      <c r="IB14" s="0"/>
      <c r="IC14" s="0"/>
      <c r="ID14" s="0"/>
      <c r="IE14" s="0"/>
      <c r="IF14" s="0"/>
      <c r="IG14" s="0"/>
      <c r="IH14" s="0"/>
      <c r="II14" s="0"/>
      <c r="IJ14" s="11" t="n">
        <v>45659</v>
      </c>
      <c r="IK14" s="6" t="s">
        <f>=-36.9</f>
      </c>
      <c r="IL14" s="0" t="s">
        <v>424</v>
      </c>
      <c r="IM14" s="0"/>
      <c r="IN14" s="0"/>
      <c r="IO14" s="0"/>
      <c r="IP14" s="0"/>
      <c r="IQ14" s="0"/>
      <c r="IR14" s="0"/>
      <c r="IS14" s="11" t="n">
        <v>45819</v>
      </c>
      <c r="IT14" s="6" t="s">
        <f>=-30.02</f>
      </c>
      <c r="IU14" s="0" t="s">
        <v>482</v>
      </c>
    </row>
    <row collapsed="false" customFormat="false" customHeight="false" hidden="false" ht="12.1" outlineLevel="0" r="15">
      <c r="A15" s="11" t="n">
        <v>45910</v>
      </c>
      <c r="B15" s="8" t="s">
        <f>=-Портфель!J2</f>
      </c>
      <c r="C15" s="0" t="s">
        <v>529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45628</v>
      </c>
      <c r="BG15" s="6" t="n">
        <v>-70</v>
      </c>
      <c r="BH15" s="0" t="s">
        <v>402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45573</v>
      </c>
      <c r="EG15" s="6" t="n">
        <v>144.38</v>
      </c>
      <c r="EH15" s="0" t="s">
        <v>527</v>
      </c>
      <c r="EI15" s="11" t="n">
        <v>44894</v>
      </c>
      <c r="EJ15" s="6" t="n">
        <v>1235.31</v>
      </c>
      <c r="EK15" s="0" t="s">
        <v>527</v>
      </c>
      <c r="EL15" s="11" t="n">
        <v>45910</v>
      </c>
      <c r="EM15" s="8" t="s">
        <f>=-Портфель!J50</f>
      </c>
      <c r="EN15" s="0" t="s">
        <v>529</v>
      </c>
      <c r="EO15" s="11" t="n">
        <v>44714</v>
      </c>
      <c r="EP15" s="6" t="n">
        <v>-1095.64</v>
      </c>
      <c r="EQ15" s="0" t="s">
        <v>528</v>
      </c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11" t="n">
        <v>45620</v>
      </c>
      <c r="FK15" s="6" t="s">
        <f>=-77.44</f>
      </c>
      <c r="FL15" s="0" t="s">
        <v>343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11" t="n">
        <v>45597</v>
      </c>
      <c r="GR15" s="6" t="s">
        <f>=-68.82</f>
      </c>
      <c r="GS15" s="0" t="s">
        <v>358</v>
      </c>
      <c r="GT15" s="0"/>
      <c r="GU15" s="0"/>
      <c r="GV15" s="0"/>
      <c r="GW15" s="11" t="n">
        <v>45635</v>
      </c>
      <c r="GX15" s="6" t="s">
        <f>=-400</f>
      </c>
      <c r="GY15" s="0" t="s">
        <v>391</v>
      </c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11" t="n">
        <v>45596</v>
      </c>
      <c r="HY15" s="6" t="s">
        <f>=-328.37</f>
      </c>
      <c r="HZ15" s="0" t="s">
        <v>386</v>
      </c>
      <c r="IA15" s="0"/>
      <c r="IB15" s="0"/>
      <c r="IC15" s="0"/>
      <c r="ID15" s="0"/>
      <c r="IE15" s="0"/>
      <c r="IF15" s="0"/>
      <c r="IG15" s="0"/>
      <c r="IH15" s="0"/>
      <c r="II15" s="0"/>
      <c r="IJ15" s="11" t="n">
        <v>45689</v>
      </c>
      <c r="IK15" s="6" t="s">
        <f>=-329.6</f>
      </c>
      <c r="IL15" s="0" t="s">
        <v>434</v>
      </c>
      <c r="IM15" s="0"/>
      <c r="IN15" s="0"/>
      <c r="IO15" s="0"/>
      <c r="IP15" s="0"/>
      <c r="IQ15" s="0"/>
      <c r="IR15" s="0"/>
      <c r="IS15" s="11" t="n">
        <v>45910</v>
      </c>
      <c r="IT15" s="8" t="s">
        <f>=-Портфель!J88</f>
      </c>
      <c r="IU15" s="0" t="s">
        <v>529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45845</v>
      </c>
      <c r="BG16" s="6" t="n">
        <v>-35</v>
      </c>
      <c r="BH16" s="0" t="s">
        <v>274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45574</v>
      </c>
      <c r="EG16" s="6" t="n">
        <v>144.42</v>
      </c>
      <c r="EH16" s="0" t="s">
        <v>527</v>
      </c>
      <c r="EI16" s="11" t="n">
        <v>44895</v>
      </c>
      <c r="EJ16" s="6" t="n">
        <v>1453.23</v>
      </c>
      <c r="EK16" s="0" t="s">
        <v>527</v>
      </c>
      <c r="EL16" s="0"/>
      <c r="EM16" s="10" t="s">
        <f>=XIRR(EM2:EM15,EL2:EL15)</f>
      </c>
      <c r="EN16" s="0"/>
      <c r="EO16" s="11" t="n">
        <v>44726</v>
      </c>
      <c r="EP16" s="6" t="n">
        <v>1526.58</v>
      </c>
      <c r="EQ16" s="0" t="s">
        <v>527</v>
      </c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11" t="n">
        <v>45650</v>
      </c>
      <c r="FK16" s="6" t="s">
        <f>=-77.44</f>
      </c>
      <c r="FL16" s="0" t="s">
        <v>343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11" t="n">
        <v>45627</v>
      </c>
      <c r="GR16" s="6" t="s">
        <f>=-68.82</f>
      </c>
      <c r="GS16" s="0" t="s">
        <v>358</v>
      </c>
      <c r="GT16" s="0"/>
      <c r="GU16" s="0"/>
      <c r="GV16" s="0"/>
      <c r="GW16" s="11" t="n">
        <v>45636</v>
      </c>
      <c r="GX16" s="6" t="s">
        <f>=-110.2</f>
      </c>
      <c r="GY16" s="0" t="s">
        <v>412</v>
      </c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11" t="n">
        <v>45597</v>
      </c>
      <c r="HY16" s="6" t="s">
        <f>=-32.45</f>
      </c>
      <c r="HZ16" s="0" t="s">
        <v>388</v>
      </c>
      <c r="IA16" s="0"/>
      <c r="IB16" s="0"/>
      <c r="IC16" s="0"/>
      <c r="ID16" s="0"/>
      <c r="IE16" s="0"/>
      <c r="IF16" s="0"/>
      <c r="IG16" s="0"/>
      <c r="IH16" s="0"/>
      <c r="II16" s="0"/>
      <c r="IJ16" s="11" t="n">
        <v>45690</v>
      </c>
      <c r="IK16" s="6" t="s">
        <f>=-34.6</f>
      </c>
      <c r="IL16" s="0" t="s">
        <v>435</v>
      </c>
      <c r="IM16" s="0"/>
      <c r="IN16" s="0"/>
      <c r="IO16" s="0"/>
      <c r="IP16" s="0"/>
      <c r="IQ16" s="0"/>
      <c r="IR16" s="0"/>
      <c r="IS16" s="0"/>
      <c r="IT16" s="10" t="s">
        <f>=XIRR(IT2:IT15,IS2:IS15)</f>
      </c>
      <c r="IU16" s="0"/>
    </row>
    <row collapsed="false" customFormat="false" customHeight="false" hidden="false" ht="12.1" outlineLevel="0" r="17">
      <c r="A17" s="0"/>
      <c r="B17" s="8" t="s">
        <f>=-SUM(B2:B15)</f>
      </c>
      <c r="C17" s="0" t="s">
        <v>531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45910</v>
      </c>
      <c r="BG17" s="8" t="s">
        <f>=-Портфель!J21</f>
      </c>
      <c r="BH17" s="0" t="s">
        <v>529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11" t="n">
        <v>45628</v>
      </c>
      <c r="EG17" s="6" t="n">
        <v>283.29</v>
      </c>
      <c r="EH17" s="0" t="s">
        <v>527</v>
      </c>
      <c r="EI17" s="11" t="n">
        <v>44930</v>
      </c>
      <c r="EJ17" s="6" t="n">
        <v>-325.85</v>
      </c>
      <c r="EK17" s="0" t="s">
        <v>528</v>
      </c>
      <c r="EL17" s="0"/>
      <c r="EM17" s="8" t="s">
        <f>=-SUM(EM2:EM15)</f>
      </c>
      <c r="EN17" s="0" t="s">
        <v>531</v>
      </c>
      <c r="EO17" s="11" t="n">
        <v>44727</v>
      </c>
      <c r="EP17" s="6" t="n">
        <v>-694.03</v>
      </c>
      <c r="EQ17" s="0" t="s">
        <v>528</v>
      </c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11" t="n">
        <v>45680</v>
      </c>
      <c r="FK17" s="6" t="s">
        <f>=-77.44</f>
      </c>
      <c r="FL17" s="0" t="s">
        <v>343</v>
      </c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11" t="n">
        <v>45657</v>
      </c>
      <c r="GR17" s="6" t="s">
        <f>=-68.82</f>
      </c>
      <c r="GS17" s="0" t="s">
        <v>358</v>
      </c>
      <c r="GT17" s="0"/>
      <c r="GU17" s="0"/>
      <c r="GV17" s="0"/>
      <c r="GW17" s="11" t="n">
        <v>45665</v>
      </c>
      <c r="GX17" s="6" t="s">
        <f>=-400</f>
      </c>
      <c r="GY17" s="0" t="s">
        <v>391</v>
      </c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11" t="n">
        <v>45626</v>
      </c>
      <c r="HY17" s="6" t="s">
        <f>=-318.64</f>
      </c>
      <c r="HZ17" s="0" t="s">
        <v>399</v>
      </c>
      <c r="IA17" s="0"/>
      <c r="IB17" s="0"/>
      <c r="IC17" s="0"/>
      <c r="ID17" s="0"/>
      <c r="IE17" s="0"/>
      <c r="IF17" s="0"/>
      <c r="IG17" s="0"/>
      <c r="IH17" s="0"/>
      <c r="II17" s="0"/>
      <c r="IJ17" s="11" t="n">
        <v>45717</v>
      </c>
      <c r="IK17" s="6" t="s">
        <f>=-306.6</f>
      </c>
      <c r="IL17" s="0" t="s">
        <v>440</v>
      </c>
      <c r="IM17" s="0"/>
      <c r="IN17" s="0"/>
      <c r="IO17" s="0"/>
      <c r="IP17" s="0"/>
      <c r="IQ17" s="0"/>
      <c r="IR17" s="0"/>
      <c r="IS17" s="0"/>
      <c r="IT17" s="8" t="s">
        <f>=-SUM(IT2:IT15)</f>
      </c>
      <c r="IU17" s="0" t="s">
        <v>531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10" t="s">
        <f>=XIRR(BG2:BG17,BF2:BF17)</f>
      </c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11" t="n">
        <v>45701</v>
      </c>
      <c r="EG18" s="6" t="n">
        <v>463.28</v>
      </c>
      <c r="EH18" s="0" t="s">
        <v>527</v>
      </c>
      <c r="EI18" s="11" t="n">
        <v>45272</v>
      </c>
      <c r="EJ18" s="6" t="n">
        <v>5893.77</v>
      </c>
      <c r="EK18" s="0" t="s">
        <v>527</v>
      </c>
      <c r="EL18" s="0"/>
      <c r="EM18" s="0"/>
      <c r="EN18" s="0"/>
      <c r="EO18" s="11" t="n">
        <v>44727</v>
      </c>
      <c r="EP18" s="6" t="n">
        <v>23.14</v>
      </c>
      <c r="EQ18" s="0" t="s">
        <v>527</v>
      </c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11" t="n">
        <v>45710</v>
      </c>
      <c r="FK18" s="6" t="s">
        <f>=-77.44</f>
      </c>
      <c r="FL18" s="0" t="s">
        <v>343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11" t="n">
        <v>45687</v>
      </c>
      <c r="GR18" s="6" t="s">
        <f>=-68.82</f>
      </c>
      <c r="GS18" s="0" t="s">
        <v>358</v>
      </c>
      <c r="GT18" s="0"/>
      <c r="GU18" s="0"/>
      <c r="GV18" s="0"/>
      <c r="GW18" s="11" t="n">
        <v>45666</v>
      </c>
      <c r="GX18" s="6" t="s">
        <f>=-105</f>
      </c>
      <c r="GY18" s="0" t="s">
        <v>426</v>
      </c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11" t="n">
        <v>45627</v>
      </c>
      <c r="HY18" s="6" t="s">
        <f>=-30.09</f>
      </c>
      <c r="HZ18" s="0" t="s">
        <v>400</v>
      </c>
      <c r="IA18" s="0"/>
      <c r="IB18" s="0"/>
      <c r="IC18" s="0"/>
      <c r="ID18" s="0"/>
      <c r="IE18" s="0"/>
      <c r="IF18" s="0"/>
      <c r="IG18" s="0"/>
      <c r="IH18" s="0"/>
      <c r="II18" s="0"/>
      <c r="IJ18" s="11" t="n">
        <v>45718</v>
      </c>
      <c r="IK18" s="6" t="s">
        <f>=-29</f>
      </c>
      <c r="IL18" s="0" t="s">
        <v>442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8" t="s">
        <f>=-SUM(BG2:BG17)</f>
      </c>
      <c r="BH19" s="0" t="s">
        <v>531</v>
      </c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11" t="n">
        <v>45749</v>
      </c>
      <c r="EG19" s="6" t="n">
        <v>159.55</v>
      </c>
      <c r="EH19" s="0" t="s">
        <v>527</v>
      </c>
      <c r="EI19" s="11" t="n">
        <v>45327</v>
      </c>
      <c r="EJ19" s="6" t="n">
        <v>905.98</v>
      </c>
      <c r="EK19" s="0" t="s">
        <v>527</v>
      </c>
      <c r="EL19" s="0"/>
      <c r="EM19" s="0"/>
      <c r="EN19" s="0"/>
      <c r="EO19" s="11" t="n">
        <v>44734</v>
      </c>
      <c r="EP19" s="6" t="n">
        <v>-451.93</v>
      </c>
      <c r="EQ19" s="0" t="s">
        <v>528</v>
      </c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11" t="n">
        <v>45740</v>
      </c>
      <c r="FK19" s="6" t="s">
        <f>=-77.44</f>
      </c>
      <c r="FL19" s="0" t="s">
        <v>343</v>
      </c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11" t="n">
        <v>45717</v>
      </c>
      <c r="GR19" s="6" t="s">
        <f>=-68.82</f>
      </c>
      <c r="GS19" s="0" t="s">
        <v>358</v>
      </c>
      <c r="GT19" s="0"/>
      <c r="GU19" s="0"/>
      <c r="GV19" s="0"/>
      <c r="GW19" s="11" t="n">
        <v>45695</v>
      </c>
      <c r="GX19" s="6" t="s">
        <f>=-400</f>
      </c>
      <c r="GY19" s="0" t="s">
        <v>391</v>
      </c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11" t="n">
        <v>45657</v>
      </c>
      <c r="HY19" s="6" t="s">
        <f>=-330.96</f>
      </c>
      <c r="HZ19" s="0" t="s">
        <v>421</v>
      </c>
      <c r="IA19" s="0"/>
      <c r="IB19" s="0"/>
      <c r="IC19" s="0"/>
      <c r="ID19" s="0"/>
      <c r="IE19" s="0"/>
      <c r="IF19" s="0"/>
      <c r="IG19" s="0"/>
      <c r="IH19" s="0"/>
      <c r="II19" s="0"/>
      <c r="IJ19" s="11" t="n">
        <v>45748</v>
      </c>
      <c r="IK19" s="6" t="s">
        <f>=-301.7</f>
      </c>
      <c r="IL19" s="0" t="s">
        <v>452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11" t="n">
        <v>45910</v>
      </c>
      <c r="EG20" s="8" t="s">
        <f>=-Портфель!J48</f>
      </c>
      <c r="EH20" s="0" t="s">
        <v>529</v>
      </c>
      <c r="EI20" s="11" t="n">
        <v>45454</v>
      </c>
      <c r="EJ20" s="6" t="n">
        <v>10069.82</v>
      </c>
      <c r="EK20" s="0" t="s">
        <v>527</v>
      </c>
      <c r="EL20" s="0"/>
      <c r="EM20" s="0"/>
      <c r="EN20" s="0"/>
      <c r="EO20" s="11" t="n">
        <v>44739</v>
      </c>
      <c r="EP20" s="6" t="n">
        <v>174</v>
      </c>
      <c r="EQ20" s="0" t="s">
        <v>527</v>
      </c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11" t="n">
        <v>45770</v>
      </c>
      <c r="FK20" s="6" t="s">
        <f>=-77.44</f>
      </c>
      <c r="FL20" s="0" t="s">
        <v>343</v>
      </c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11" t="n">
        <v>45747</v>
      </c>
      <c r="GR20" s="6" t="s">
        <f>=-68.82</f>
      </c>
      <c r="GS20" s="0" t="s">
        <v>358</v>
      </c>
      <c r="GT20" s="0"/>
      <c r="GU20" s="0"/>
      <c r="GV20" s="0"/>
      <c r="GW20" s="11" t="n">
        <v>45696</v>
      </c>
      <c r="GX20" s="6" t="s">
        <f>=-100.7</f>
      </c>
      <c r="GY20" s="0" t="s">
        <v>437</v>
      </c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11" t="n">
        <v>45658</v>
      </c>
      <c r="HY20" s="6" t="s">
        <f>=-29.11</f>
      </c>
      <c r="HZ20" s="0" t="s">
        <v>423</v>
      </c>
      <c r="IA20" s="0"/>
      <c r="IB20" s="0"/>
      <c r="IC20" s="0"/>
      <c r="ID20" s="0"/>
      <c r="IE20" s="0"/>
      <c r="IF20" s="0"/>
      <c r="IG20" s="0"/>
      <c r="IH20" s="0"/>
      <c r="II20" s="0"/>
      <c r="IJ20" s="11" t="n">
        <v>45749</v>
      </c>
      <c r="IK20" s="6" t="s">
        <f>=-29.6</f>
      </c>
      <c r="IL20" s="0" t="s">
        <v>454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10" t="s">
        <f>=XIRR(EG2:EG20,EF2:EF20)</f>
      </c>
      <c r="EH21" s="0"/>
      <c r="EI21" s="11" t="n">
        <v>45742</v>
      </c>
      <c r="EJ21" s="6" t="n">
        <v>668.05</v>
      </c>
      <c r="EK21" s="0" t="s">
        <v>527</v>
      </c>
      <c r="EL21" s="0"/>
      <c r="EM21" s="0"/>
      <c r="EN21" s="0"/>
      <c r="EO21" s="11" t="n">
        <v>44740</v>
      </c>
      <c r="EP21" s="6" t="n">
        <v>-754.07</v>
      </c>
      <c r="EQ21" s="0" t="s">
        <v>528</v>
      </c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11" t="n">
        <v>45800</v>
      </c>
      <c r="FK21" s="6" t="s">
        <f>=-77.44</f>
      </c>
      <c r="FL21" s="0" t="s">
        <v>343</v>
      </c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11" t="n">
        <v>45777</v>
      </c>
      <c r="GR21" s="6" t="s">
        <f>=-68.82</f>
      </c>
      <c r="GS21" s="0" t="s">
        <v>358</v>
      </c>
      <c r="GT21" s="0"/>
      <c r="GU21" s="0"/>
      <c r="GV21" s="0"/>
      <c r="GW21" s="11" t="n">
        <v>45725</v>
      </c>
      <c r="GX21" s="6" t="s">
        <f>=-400</f>
      </c>
      <c r="GY21" s="0" t="s">
        <v>391</v>
      </c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11" t="n">
        <v>45688</v>
      </c>
      <c r="HY21" s="6" t="s">
        <f>=-297.99</f>
      </c>
      <c r="HZ21" s="0" t="s">
        <v>432</v>
      </c>
      <c r="IA21" s="0"/>
      <c r="IB21" s="0"/>
      <c r="IC21" s="0"/>
      <c r="ID21" s="0"/>
      <c r="IE21" s="0"/>
      <c r="IF21" s="0"/>
      <c r="IG21" s="0"/>
      <c r="IH21" s="0"/>
      <c r="II21" s="0"/>
      <c r="IJ21" s="11" t="n">
        <v>45778</v>
      </c>
      <c r="IK21" s="6" t="s">
        <f>=-309</f>
      </c>
      <c r="IL21" s="0" t="s">
        <v>460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8" t="s">
        <f>=-SUM(EG2:EG20)</f>
      </c>
      <c r="EH22" s="0" t="s">
        <v>531</v>
      </c>
      <c r="EI22" s="11" t="n">
        <v>45757</v>
      </c>
      <c r="EJ22" s="6" t="n">
        <v>2398.17</v>
      </c>
      <c r="EK22" s="0" t="s">
        <v>527</v>
      </c>
      <c r="EL22" s="0"/>
      <c r="EM22" s="0"/>
      <c r="EN22" s="0"/>
      <c r="EO22" s="11" t="n">
        <v>44740</v>
      </c>
      <c r="EP22" s="6" t="n">
        <v>40.61</v>
      </c>
      <c r="EQ22" s="0" t="s">
        <v>527</v>
      </c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11" t="n">
        <v>45830</v>
      </c>
      <c r="FK22" s="6" t="s">
        <f>=-77.44</f>
      </c>
      <c r="FL22" s="0" t="s">
        <v>343</v>
      </c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11" t="n">
        <v>45807</v>
      </c>
      <c r="GR22" s="6" t="s">
        <f>=-68.82</f>
      </c>
      <c r="GS22" s="0" t="s">
        <v>358</v>
      </c>
      <c r="GT22" s="0"/>
      <c r="GU22" s="0"/>
      <c r="GV22" s="0"/>
      <c r="GW22" s="11" t="n">
        <v>45726</v>
      </c>
      <c r="GX22" s="6" t="s">
        <f>=-96.5</f>
      </c>
      <c r="GY22" s="0" t="s">
        <v>444</v>
      </c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11" t="n">
        <v>45689</v>
      </c>
      <c r="HY22" s="6" t="s">
        <f>=-26.87</f>
      </c>
      <c r="HZ22" s="0" t="s">
        <v>433</v>
      </c>
      <c r="IA22" s="0"/>
      <c r="IB22" s="0"/>
      <c r="IC22" s="0"/>
      <c r="ID22" s="0"/>
      <c r="IE22" s="0"/>
      <c r="IF22" s="0"/>
      <c r="IG22" s="0"/>
      <c r="IH22" s="0"/>
      <c r="II22" s="0"/>
      <c r="IJ22" s="11" t="n">
        <v>45779</v>
      </c>
      <c r="IK22" s="6" t="s">
        <f>=-25.8</f>
      </c>
      <c r="IL22" s="0" t="s">
        <v>461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45789</v>
      </c>
      <c r="EJ23" s="6" t="n">
        <v>75.01</v>
      </c>
      <c r="EK23" s="0" t="s">
        <v>527</v>
      </c>
      <c r="EL23" s="0"/>
      <c r="EM23" s="0"/>
      <c r="EN23" s="0"/>
      <c r="EO23" s="11" t="n">
        <v>44742</v>
      </c>
      <c r="EP23" s="6" t="n">
        <v>-98.71</v>
      </c>
      <c r="EQ23" s="0" t="s">
        <v>528</v>
      </c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11" t="n">
        <v>45860</v>
      </c>
      <c r="FK23" s="6" t="s">
        <f>=-77.44</f>
      </c>
      <c r="FL23" s="0" t="s">
        <v>343</v>
      </c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11" t="n">
        <v>45837</v>
      </c>
      <c r="GR23" s="6" t="s">
        <f>=-68.82</f>
      </c>
      <c r="GS23" s="0" t="s">
        <v>358</v>
      </c>
      <c r="GT23" s="0"/>
      <c r="GU23" s="0"/>
      <c r="GV23" s="0"/>
      <c r="GW23" s="11" t="n">
        <v>45755</v>
      </c>
      <c r="GX23" s="6" t="s">
        <f>=-400</f>
      </c>
      <c r="GY23" s="0" t="s">
        <v>391</v>
      </c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11" t="n">
        <v>45716</v>
      </c>
      <c r="HY23" s="6" t="s">
        <f>=-273.49</f>
      </c>
      <c r="HZ23" s="0" t="s">
        <v>439</v>
      </c>
      <c r="IA23" s="0"/>
      <c r="IB23" s="0"/>
      <c r="IC23" s="0"/>
      <c r="ID23" s="0"/>
      <c r="IE23" s="0"/>
      <c r="IF23" s="0"/>
      <c r="IG23" s="0"/>
      <c r="IH23" s="0"/>
      <c r="II23" s="0"/>
      <c r="IJ23" s="11" t="n">
        <v>45809</v>
      </c>
      <c r="IK23" s="6" t="s">
        <f>=-298</f>
      </c>
      <c r="IL23" s="0" t="s">
        <v>470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11" t="n">
        <v>45803</v>
      </c>
      <c r="EJ24" s="6" t="n">
        <v>40.71</v>
      </c>
      <c r="EK24" s="0" t="s">
        <v>527</v>
      </c>
      <c r="EL24" s="0"/>
      <c r="EM24" s="0"/>
      <c r="EN24" s="0"/>
      <c r="EO24" s="11" t="n">
        <v>44749</v>
      </c>
      <c r="EP24" s="6" t="n">
        <v>407.23</v>
      </c>
      <c r="EQ24" s="0" t="s">
        <v>527</v>
      </c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11" t="n">
        <v>45890</v>
      </c>
      <c r="FK24" s="6" t="s">
        <f>=-77.44</f>
      </c>
      <c r="FL24" s="0" t="s">
        <v>343</v>
      </c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11" t="n">
        <v>45867</v>
      </c>
      <c r="GR24" s="6" t="s">
        <f>=-68.82</f>
      </c>
      <c r="GS24" s="0" t="s">
        <v>358</v>
      </c>
      <c r="GT24" s="0"/>
      <c r="GU24" s="0"/>
      <c r="GV24" s="0"/>
      <c r="GW24" s="11" t="n">
        <v>45756</v>
      </c>
      <c r="GX24" s="6" t="s">
        <f>=-91.2</f>
      </c>
      <c r="GY24" s="0" t="s">
        <v>455</v>
      </c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11" t="n">
        <v>45717</v>
      </c>
      <c r="HY24" s="6" t="s">
        <f>=-23.04</f>
      </c>
      <c r="HZ24" s="0" t="s">
        <v>441</v>
      </c>
      <c r="IA24" s="0"/>
      <c r="IB24" s="0"/>
      <c r="IC24" s="0"/>
      <c r="ID24" s="0"/>
      <c r="IE24" s="0"/>
      <c r="IF24" s="0"/>
      <c r="IG24" s="0"/>
      <c r="IH24" s="0"/>
      <c r="II24" s="0"/>
      <c r="IJ24" s="11" t="n">
        <v>45810</v>
      </c>
      <c r="IK24" s="6" t="s">
        <f>=-23.9</f>
      </c>
      <c r="IL24" s="0" t="s">
        <v>472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11" t="n">
        <v>45817</v>
      </c>
      <c r="EJ25" s="6" t="n">
        <v>426.12</v>
      </c>
      <c r="EK25" s="0" t="s">
        <v>527</v>
      </c>
      <c r="EL25" s="0"/>
      <c r="EM25" s="0"/>
      <c r="EN25" s="0"/>
      <c r="EO25" s="11" t="n">
        <v>44756</v>
      </c>
      <c r="EP25" s="6" t="n">
        <v>675.93</v>
      </c>
      <c r="EQ25" s="0" t="s">
        <v>527</v>
      </c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11" t="n">
        <v>45901</v>
      </c>
      <c r="FK25" s="6" t="s">
        <f>=21275.18</f>
      </c>
      <c r="FL25" s="0" t="s">
        <v>527</v>
      </c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11" t="n">
        <v>45897</v>
      </c>
      <c r="GR25" s="6" t="s">
        <f>=-68.82</f>
      </c>
      <c r="GS25" s="0" t="s">
        <v>358</v>
      </c>
      <c r="GT25" s="0"/>
      <c r="GU25" s="0"/>
      <c r="GV25" s="0"/>
      <c r="GW25" s="11" t="n">
        <v>45785</v>
      </c>
      <c r="GX25" s="6" t="s">
        <f>=-400</f>
      </c>
      <c r="GY25" s="0" t="s">
        <v>391</v>
      </c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11" t="n">
        <v>45747</v>
      </c>
      <c r="HY25" s="6" t="s">
        <f>=-255.92</f>
      </c>
      <c r="HZ25" s="0" t="s">
        <v>450</v>
      </c>
      <c r="IA25" s="0"/>
      <c r="IB25" s="0"/>
      <c r="IC25" s="0"/>
      <c r="ID25" s="0"/>
      <c r="IE25" s="0"/>
      <c r="IF25" s="0"/>
      <c r="IG25" s="0"/>
      <c r="IH25" s="0"/>
      <c r="II25" s="0"/>
      <c r="IJ25" s="11" t="n">
        <v>45839</v>
      </c>
      <c r="IK25" s="6" t="s">
        <f>=-296.1</f>
      </c>
      <c r="IL25" s="0" t="s">
        <v>486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11" t="n">
        <v>45840</v>
      </c>
      <c r="EJ26" s="6" t="n">
        <v>210.92</v>
      </c>
      <c r="EK26" s="0" t="s">
        <v>527</v>
      </c>
      <c r="EL26" s="0"/>
      <c r="EM26" s="0"/>
      <c r="EN26" s="0"/>
      <c r="EO26" s="11" t="n">
        <v>44757</v>
      </c>
      <c r="EP26" s="6" t="n">
        <v>990.68</v>
      </c>
      <c r="EQ26" s="0" t="s">
        <v>527</v>
      </c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11" t="n">
        <v>45910</v>
      </c>
      <c r="FK26" s="8" t="s">
        <f>=-Портфель!J59</f>
      </c>
      <c r="FL26" s="0" t="s">
        <v>529</v>
      </c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11" t="n">
        <v>45910</v>
      </c>
      <c r="GR26" s="8" t="s">
        <f>=-Портфель!J70</f>
      </c>
      <c r="GS26" s="0" t="s">
        <v>529</v>
      </c>
      <c r="GT26" s="0"/>
      <c r="GU26" s="0"/>
      <c r="GV26" s="0"/>
      <c r="GW26" s="11" t="n">
        <v>45786</v>
      </c>
      <c r="GX26" s="6" t="s">
        <f>=-86.9</f>
      </c>
      <c r="GY26" s="0" t="s">
        <v>463</v>
      </c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11" t="n">
        <v>45748</v>
      </c>
      <c r="HY26" s="6" t="s">
        <f>=-22.95</f>
      </c>
      <c r="HZ26" s="0" t="s">
        <v>451</v>
      </c>
      <c r="IA26" s="0"/>
      <c r="IB26" s="0"/>
      <c r="IC26" s="0"/>
      <c r="ID26" s="0"/>
      <c r="IE26" s="0"/>
      <c r="IF26" s="0"/>
      <c r="IG26" s="0"/>
      <c r="IH26" s="0"/>
      <c r="II26" s="0"/>
      <c r="IJ26" s="11" t="n">
        <v>45840</v>
      </c>
      <c r="IK26" s="6" t="s">
        <f>=-21.3</f>
      </c>
      <c r="IL26" s="0" t="s">
        <v>487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11" t="n">
        <v>45846</v>
      </c>
      <c r="EJ27" s="6" t="n">
        <v>729.45</v>
      </c>
      <c r="EK27" s="0" t="s">
        <v>527</v>
      </c>
      <c r="EL27" s="0"/>
      <c r="EM27" s="0"/>
      <c r="EN27" s="0"/>
      <c r="EO27" s="11" t="n">
        <v>44761</v>
      </c>
      <c r="EP27" s="6" t="n">
        <v>-752.04</v>
      </c>
      <c r="EQ27" s="0" t="s">
        <v>528</v>
      </c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10" t="s">
        <f>=XIRR(FK2:FK26,FJ2:FJ26)</f>
      </c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10" t="s">
        <f>=XIRR(GR2:GR26,GQ2:GQ26)</f>
      </c>
      <c r="GS27" s="0"/>
      <c r="GT27" s="0"/>
      <c r="GU27" s="0"/>
      <c r="GV27" s="0"/>
      <c r="GW27" s="11" t="n">
        <v>45815</v>
      </c>
      <c r="GX27" s="6" t="s">
        <f>=-400</f>
      </c>
      <c r="GY27" s="0" t="s">
        <v>391</v>
      </c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11" t="n">
        <v>45777</v>
      </c>
      <c r="HY27" s="6" t="s">
        <f>=-253.82</f>
      </c>
      <c r="HZ27" s="0" t="s">
        <v>458</v>
      </c>
      <c r="IA27" s="0"/>
      <c r="IB27" s="0"/>
      <c r="IC27" s="0"/>
      <c r="ID27" s="0"/>
      <c r="IE27" s="0"/>
      <c r="IF27" s="0"/>
      <c r="IG27" s="0"/>
      <c r="IH27" s="0"/>
      <c r="II27" s="0"/>
      <c r="IJ27" s="11" t="n">
        <v>45870</v>
      </c>
      <c r="IK27" s="6" t="s">
        <f>=-281.9</f>
      </c>
      <c r="IL27" s="0" t="s">
        <v>508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11" t="n">
        <v>45910</v>
      </c>
      <c r="EJ28" s="8" t="s">
        <f>=-Портфель!J49</f>
      </c>
      <c r="EK28" s="0" t="s">
        <v>529</v>
      </c>
      <c r="EL28" s="0"/>
      <c r="EM28" s="0"/>
      <c r="EN28" s="0"/>
      <c r="EO28" s="11" t="n">
        <v>44763</v>
      </c>
      <c r="EP28" s="6" t="n">
        <v>-630.23</v>
      </c>
      <c r="EQ28" s="0" t="s">
        <v>528</v>
      </c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8" t="s">
        <f>=-SUM(FK2:FK26)</f>
      </c>
      <c r="FL28" s="0" t="s">
        <v>531</v>
      </c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8" t="s">
        <f>=-SUM(GR2:GR26)</f>
      </c>
      <c r="GS28" s="0" t="s">
        <v>531</v>
      </c>
      <c r="GT28" s="0"/>
      <c r="GU28" s="0"/>
      <c r="GV28" s="0"/>
      <c r="GW28" s="11" t="n">
        <v>45816</v>
      </c>
      <c r="GX28" s="6" t="s">
        <f>=-82.7</f>
      </c>
      <c r="GY28" s="0" t="s">
        <v>477</v>
      </c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11" t="n">
        <v>45778</v>
      </c>
      <c r="HY28" s="6" t="s">
        <f>=-21.43</f>
      </c>
      <c r="HZ28" s="0" t="s">
        <v>459</v>
      </c>
      <c r="IA28" s="0"/>
      <c r="IB28" s="0"/>
      <c r="IC28" s="0"/>
      <c r="ID28" s="0"/>
      <c r="IE28" s="0"/>
      <c r="IF28" s="0"/>
      <c r="IG28" s="0"/>
      <c r="IH28" s="0"/>
      <c r="II28" s="0"/>
      <c r="IJ28" s="11" t="n">
        <v>45871</v>
      </c>
      <c r="IK28" s="6" t="s">
        <f>=-19.4</f>
      </c>
      <c r="IL28" s="0" t="s">
        <v>509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10" t="s">
        <f>=XIRR(EJ2:EJ28,EI2:EI28)</f>
      </c>
      <c r="EK29" s="0"/>
      <c r="EL29" s="0"/>
      <c r="EM29" s="0"/>
      <c r="EN29" s="0"/>
      <c r="EO29" s="11" t="n">
        <v>44763</v>
      </c>
      <c r="EP29" s="6" t="n">
        <v>35.02</v>
      </c>
      <c r="EQ29" s="0" t="s">
        <v>527</v>
      </c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11" t="n">
        <v>45845</v>
      </c>
      <c r="GX29" s="6" t="s">
        <f>=-400</f>
      </c>
      <c r="GY29" s="0" t="s">
        <v>391</v>
      </c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11" t="n">
        <v>45808</v>
      </c>
      <c r="HY29" s="6" t="s">
        <f>=-244.72</f>
      </c>
      <c r="HZ29" s="0" t="s">
        <v>469</v>
      </c>
      <c r="IA29" s="0"/>
      <c r="IB29" s="0"/>
      <c r="IC29" s="0"/>
      <c r="ID29" s="0"/>
      <c r="IE29" s="0"/>
      <c r="IF29" s="0"/>
      <c r="IG29" s="0"/>
      <c r="IH29" s="0"/>
      <c r="II29" s="0"/>
      <c r="IJ29" s="11" t="n">
        <v>45901</v>
      </c>
      <c r="IK29" s="6" t="s">
        <f>=-279.8</f>
      </c>
      <c r="IL29" s="0" t="s">
        <v>517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8" t="s">
        <f>=-SUM(EJ2:EJ28)</f>
      </c>
      <c r="EK30" s="0" t="s">
        <v>531</v>
      </c>
      <c r="EL30" s="0"/>
      <c r="EM30" s="0"/>
      <c r="EN30" s="0"/>
      <c r="EO30" s="11" t="n">
        <v>44767</v>
      </c>
      <c r="EP30" s="6" t="n">
        <v>-210.17</v>
      </c>
      <c r="EQ30" s="0" t="s">
        <v>528</v>
      </c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11" t="n">
        <v>45846</v>
      </c>
      <c r="GX30" s="6" t="s">
        <f>=-77.4</f>
      </c>
      <c r="GY30" s="0" t="s">
        <v>490</v>
      </c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11" t="n">
        <v>45809</v>
      </c>
      <c r="HY30" s="6" t="s">
        <f>=-20.52</f>
      </c>
      <c r="HZ30" s="0" t="s">
        <v>471</v>
      </c>
      <c r="IA30" s="0"/>
      <c r="IB30" s="0"/>
      <c r="IC30" s="0"/>
      <c r="ID30" s="0"/>
      <c r="IE30" s="0"/>
      <c r="IF30" s="0"/>
      <c r="IG30" s="0"/>
      <c r="IH30" s="0"/>
      <c r="II30" s="0"/>
      <c r="IJ30" s="11" t="n">
        <v>45902</v>
      </c>
      <c r="IK30" s="6" t="s">
        <f>=-16.7</f>
      </c>
      <c r="IL30" s="0" t="s">
        <v>519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44767</v>
      </c>
      <c r="EP31" s="6" t="n">
        <v>221.87</v>
      </c>
      <c r="EQ31" s="0" t="s">
        <v>527</v>
      </c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11" t="n">
        <v>45875</v>
      </c>
      <c r="GX31" s="6" t="s">
        <f>=-400</f>
      </c>
      <c r="GY31" s="0" t="s">
        <v>391</v>
      </c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11" t="n">
        <v>45838</v>
      </c>
      <c r="HY31" s="6" t="s">
        <f>=-227.15</f>
      </c>
      <c r="HZ31" s="0" t="s">
        <v>484</v>
      </c>
      <c r="IA31" s="0"/>
      <c r="IB31" s="0"/>
      <c r="IC31" s="0"/>
      <c r="ID31" s="0"/>
      <c r="IE31" s="0"/>
      <c r="IF31" s="0"/>
      <c r="IG31" s="0"/>
      <c r="IH31" s="0"/>
      <c r="II31" s="0"/>
      <c r="IJ31" s="11" t="n">
        <v>45910</v>
      </c>
      <c r="IK31" s="8" t="s">
        <f>=-Портфель!J85</f>
      </c>
      <c r="IL31" s="0" t="s">
        <v>529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44768</v>
      </c>
      <c r="EP32" s="6" t="n">
        <v>21.02</v>
      </c>
      <c r="EQ32" s="0" t="s">
        <v>527</v>
      </c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11" t="n">
        <v>45876</v>
      </c>
      <c r="GX32" s="6" t="s">
        <f>=-73.2</f>
      </c>
      <c r="GY32" s="0" t="s">
        <v>512</v>
      </c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11" t="n">
        <v>45839</v>
      </c>
      <c r="HY32" s="6" t="s">
        <f>=-18.14</f>
      </c>
      <c r="HZ32" s="0" t="s">
        <v>485</v>
      </c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10" t="s">
        <f>=XIRR(IK2:IK31,IJ2:IJ31)</f>
      </c>
      <c r="I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44771</v>
      </c>
      <c r="EP33" s="6" t="n">
        <v>-374.08</v>
      </c>
      <c r="EQ33" s="0" t="s">
        <v>528</v>
      </c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11" t="n">
        <v>45905</v>
      </c>
      <c r="GX33" s="6" t="s">
        <f>=-400</f>
      </c>
      <c r="GY33" s="0" t="s">
        <v>391</v>
      </c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11" t="n">
        <v>45869</v>
      </c>
      <c r="HY33" s="6" t="s">
        <f>=-229.6</f>
      </c>
      <c r="HZ33" s="0" t="s">
        <v>505</v>
      </c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8" t="s">
        <f>=-SUM(IK2:IK31)</f>
      </c>
      <c r="IL33" s="0" t="s">
        <v>531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44771</v>
      </c>
      <c r="EP34" s="6" t="n">
        <v>23.38</v>
      </c>
      <c r="EQ34" s="0" t="s">
        <v>527</v>
      </c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11" t="n">
        <v>45906</v>
      </c>
      <c r="GX34" s="6" t="s">
        <f>=-68.9</f>
      </c>
      <c r="GY34" s="0" t="s">
        <v>521</v>
      </c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11" t="n">
        <v>45870</v>
      </c>
      <c r="HY34" s="6" t="s">
        <f>=-17.3</f>
      </c>
      <c r="HZ34" s="0" t="s">
        <v>506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44774</v>
      </c>
      <c r="EP35" s="6" t="n">
        <v>-327.46</v>
      </c>
      <c r="EQ35" s="0" t="s">
        <v>528</v>
      </c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11" t="n">
        <v>45910</v>
      </c>
      <c r="GX35" s="8" t="s">
        <f>=-Портфель!J72</f>
      </c>
      <c r="GY35" s="0" t="s">
        <v>529</v>
      </c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11" t="n">
        <v>45900</v>
      </c>
      <c r="HY35" s="6" t="s">
        <f>=-221.48</f>
      </c>
      <c r="HZ35" s="0" t="s">
        <v>515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44776</v>
      </c>
      <c r="EP36" s="6" t="n">
        <v>-70.2</v>
      </c>
      <c r="EQ36" s="0" t="s">
        <v>528</v>
      </c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10" t="s">
        <f>=XIRR(GX2:GX35,GW2:GW35)</f>
      </c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11" t="n">
        <v>45901</v>
      </c>
      <c r="HY36" s="6" t="s">
        <f>=-16.69</f>
      </c>
      <c r="HZ36" s="0" t="s">
        <v>516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44777</v>
      </c>
      <c r="EP37" s="6" t="n">
        <v>110.05</v>
      </c>
      <c r="EQ37" s="0" t="s">
        <v>527</v>
      </c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8" t="s">
        <f>=-SUM(GX2:GX35)</f>
      </c>
      <c r="GY37" s="0" t="s">
        <v>531</v>
      </c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11" t="n">
        <v>45910</v>
      </c>
      <c r="HY37" s="8" t="s">
        <f>=-Портфель!J81</f>
      </c>
      <c r="HZ37" s="0" t="s">
        <v>529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44788</v>
      </c>
      <c r="EP38" s="6" t="n">
        <v>205.25</v>
      </c>
      <c r="EQ38" s="0" t="s">
        <v>527</v>
      </c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10" t="s">
        <f>=XIRR(HY2:HY37,HX2:HX37)</f>
      </c>
      <c r="HZ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44789</v>
      </c>
      <c r="EP39" s="6" t="n">
        <v>1155.41</v>
      </c>
      <c r="EQ39" s="0" t="s">
        <v>527</v>
      </c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8" t="s">
        <f>=-SUM(HY2:HY37)</f>
      </c>
      <c r="HZ39" s="0" t="s">
        <v>531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44791</v>
      </c>
      <c r="EP40" s="6" t="n">
        <v>-610.48</v>
      </c>
      <c r="EQ40" s="0" t="s">
        <v>528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44792</v>
      </c>
      <c r="EP41" s="6" t="n">
        <v>-877.05</v>
      </c>
      <c r="EQ41" s="0" t="s">
        <v>528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44795</v>
      </c>
      <c r="EP42" s="6" t="n">
        <v>70.47</v>
      </c>
      <c r="EQ42" s="0" t="s">
        <v>527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44798</v>
      </c>
      <c r="EP43" s="6" t="n">
        <v>-58.78</v>
      </c>
      <c r="EQ43" s="0" t="s">
        <v>528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44798</v>
      </c>
      <c r="EP44" s="6" t="n">
        <v>47.02</v>
      </c>
      <c r="EQ44" s="0" t="s">
        <v>527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44803</v>
      </c>
      <c r="EP45" s="6" t="n">
        <v>164.7</v>
      </c>
      <c r="EQ45" s="0" t="s">
        <v>527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44805</v>
      </c>
      <c r="EP46" s="6" t="n">
        <v>394.46</v>
      </c>
      <c r="EQ46" s="0" t="s">
        <v>527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44806</v>
      </c>
      <c r="EP47" s="6" t="n">
        <v>-618.24</v>
      </c>
      <c r="EQ47" s="0" t="s">
        <v>528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11" t="n">
        <v>44809</v>
      </c>
      <c r="EP48" s="6" t="n">
        <v>471.16</v>
      </c>
      <c r="EQ48" s="0" t="s">
        <v>527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11" t="n">
        <v>44810</v>
      </c>
      <c r="EP49" s="6" t="n">
        <v>82.47</v>
      </c>
      <c r="EQ49" s="0" t="s">
        <v>527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11" t="n">
        <v>44813</v>
      </c>
      <c r="EP50" s="6" t="n">
        <v>209.91</v>
      </c>
      <c r="EQ50" s="0" t="s">
        <v>527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11" t="n">
        <v>44820</v>
      </c>
      <c r="EP51" s="6" t="n">
        <v>-507.79</v>
      </c>
      <c r="EQ51" s="0" t="s">
        <v>528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11" t="n">
        <v>44820</v>
      </c>
      <c r="EP52" s="6" t="n">
        <v>23.62</v>
      </c>
      <c r="EQ52" s="0" t="s">
        <v>527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11" t="n">
        <v>44825</v>
      </c>
      <c r="EP53" s="6" t="n">
        <v>29.54</v>
      </c>
      <c r="EQ53" s="0" t="s">
        <v>527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11" t="n">
        <v>44830</v>
      </c>
      <c r="EP54" s="6" t="n">
        <v>-311</v>
      </c>
      <c r="EQ54" s="0" t="s">
        <v>528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11" t="n">
        <v>44838</v>
      </c>
      <c r="EP55" s="6" t="n">
        <v>329.32</v>
      </c>
      <c r="EQ55" s="0" t="s">
        <v>527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11" t="n">
        <v>44861</v>
      </c>
      <c r="EP56" s="6" t="n">
        <v>446.36</v>
      </c>
      <c r="EQ56" s="0" t="s">
        <v>527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11" t="n">
        <v>44866</v>
      </c>
      <c r="EP57" s="6" t="n">
        <v>434.75</v>
      </c>
      <c r="EQ57" s="0" t="s">
        <v>527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11" t="n">
        <v>44868</v>
      </c>
      <c r="EP58" s="6" t="n">
        <v>23.85</v>
      </c>
      <c r="EQ58" s="0" t="s">
        <v>527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11" t="n">
        <v>44872</v>
      </c>
      <c r="EP59" s="6" t="n">
        <v>-465</v>
      </c>
      <c r="EQ59" s="0" t="s">
        <v>528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11" t="n">
        <v>44873</v>
      </c>
      <c r="EP60" s="6" t="n">
        <v>-59.63</v>
      </c>
      <c r="EQ60" s="0" t="s">
        <v>528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11" t="n">
        <v>44873</v>
      </c>
      <c r="EP61" s="6" t="n">
        <v>23.85</v>
      </c>
      <c r="EQ61" s="0" t="s">
        <v>527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11" t="n">
        <v>44875</v>
      </c>
      <c r="EP62" s="6" t="n">
        <v>-387.89</v>
      </c>
      <c r="EQ62" s="0" t="s">
        <v>528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11" t="n">
        <v>44893</v>
      </c>
      <c r="EP63" s="6" t="n">
        <v>-350.72</v>
      </c>
      <c r="EQ63" s="0" t="s">
        <v>528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11" t="n">
        <v>44923</v>
      </c>
      <c r="EP64" s="6" t="n">
        <v>361.17</v>
      </c>
      <c r="EQ64" s="0" t="s">
        <v>527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11" t="n">
        <v>44924</v>
      </c>
      <c r="EP65" s="6" t="n">
        <v>602.45</v>
      </c>
      <c r="EQ65" s="0" t="s">
        <v>527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11" t="n">
        <v>44930</v>
      </c>
      <c r="EP66" s="6" t="n">
        <v>482.32</v>
      </c>
      <c r="EQ66" s="0" t="s">
        <v>527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11" t="n">
        <v>44931</v>
      </c>
      <c r="EP67" s="6" t="n">
        <v>-20.51</v>
      </c>
      <c r="EQ67" s="0" t="s">
        <v>528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11" t="n">
        <v>44937</v>
      </c>
      <c r="EP68" s="6" t="n">
        <v>-1273.7</v>
      </c>
      <c r="EQ68" s="0" t="s">
        <v>528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11" t="n">
        <v>44950</v>
      </c>
      <c r="EP69" s="6" t="n">
        <v>435.6</v>
      </c>
      <c r="EQ69" s="0" t="s">
        <v>527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11" t="n">
        <v>44956</v>
      </c>
      <c r="EP70" s="6" t="n">
        <v>39.97</v>
      </c>
      <c r="EQ70" s="0" t="s">
        <v>527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11" t="n">
        <v>44960</v>
      </c>
      <c r="EP71" s="6" t="n">
        <v>-242.5</v>
      </c>
      <c r="EQ71" s="0" t="s">
        <v>528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11" t="n">
        <v>44960</v>
      </c>
      <c r="EP72" s="6" t="n">
        <v>65.48</v>
      </c>
      <c r="EQ72" s="0" t="s">
        <v>527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11" t="n">
        <v>45002</v>
      </c>
      <c r="EP73" s="6" t="n">
        <v>1807.34</v>
      </c>
      <c r="EQ73" s="0" t="s">
        <v>527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11" t="n">
        <v>45036</v>
      </c>
      <c r="EP74" s="6" t="n">
        <v>-1242.1</v>
      </c>
      <c r="EQ74" s="0" t="s">
        <v>528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11" t="n">
        <v>45044</v>
      </c>
      <c r="EP75" s="6" t="n">
        <v>-591.22</v>
      </c>
      <c r="EQ75" s="0" t="s">
        <v>528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11" t="n">
        <v>45076</v>
      </c>
      <c r="EP76" s="6" t="n">
        <v>241.51</v>
      </c>
      <c r="EQ76" s="0" t="s">
        <v>527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11" t="n">
        <v>45083</v>
      </c>
      <c r="EP77" s="6" t="n">
        <v>-595.2</v>
      </c>
      <c r="EQ77" s="0" t="s">
        <v>528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11" t="n">
        <v>45091</v>
      </c>
      <c r="EP78" s="6" t="n">
        <v>52.16</v>
      </c>
      <c r="EQ78" s="0" t="s">
        <v>527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11" t="n">
        <v>45092</v>
      </c>
      <c r="EP79" s="6" t="n">
        <v>428.69</v>
      </c>
      <c r="EQ79" s="0" t="s">
        <v>527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11" t="n">
        <v>45107</v>
      </c>
      <c r="EP80" s="6" t="n">
        <v>43.6</v>
      </c>
      <c r="EQ80" s="0" t="s">
        <v>527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11" t="n">
        <v>45119</v>
      </c>
      <c r="EP81" s="6" t="n">
        <v>68.66</v>
      </c>
      <c r="EQ81" s="0" t="s">
        <v>527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11" t="n">
        <v>45120</v>
      </c>
      <c r="EP82" s="6" t="n">
        <v>-424.69</v>
      </c>
      <c r="EQ82" s="0" t="s">
        <v>528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11" t="n">
        <v>45121</v>
      </c>
      <c r="EP83" s="6" t="n">
        <v>43.73</v>
      </c>
      <c r="EQ83" s="0" t="s">
        <v>527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11" t="n">
        <v>45133</v>
      </c>
      <c r="EP84" s="6" t="n">
        <v>31.3</v>
      </c>
      <c r="EQ84" s="0" t="s">
        <v>527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11" t="n">
        <v>45141</v>
      </c>
      <c r="EP85" s="6" t="n">
        <v>81.5</v>
      </c>
      <c r="EQ85" s="0" t="s">
        <v>527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11" t="n">
        <v>45142</v>
      </c>
      <c r="EP86" s="6" t="n">
        <v>70.26</v>
      </c>
      <c r="EQ86" s="0" t="s">
        <v>527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11" t="n">
        <v>45196</v>
      </c>
      <c r="EP87" s="6" t="n">
        <v>-471.49</v>
      </c>
      <c r="EQ87" s="0" t="s">
        <v>528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11" t="n">
        <v>45265</v>
      </c>
      <c r="EP88" s="6" t="n">
        <v>14375.9</v>
      </c>
      <c r="EQ88" s="0" t="s">
        <v>527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11" t="n">
        <v>45266</v>
      </c>
      <c r="EP89" s="6" t="n">
        <v>509.89</v>
      </c>
      <c r="EQ89" s="0" t="s">
        <v>527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11" t="n">
        <v>45267</v>
      </c>
      <c r="EP90" s="6" t="n">
        <v>45.78</v>
      </c>
      <c r="EQ90" s="0" t="s">
        <v>527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11" t="n">
        <v>45271</v>
      </c>
      <c r="EP91" s="6" t="n">
        <v>2187.87</v>
      </c>
      <c r="EQ91" s="0" t="s">
        <v>527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11" t="n">
        <v>45272</v>
      </c>
      <c r="EP92" s="6" t="n">
        <v>30141.5</v>
      </c>
      <c r="EQ92" s="0" t="s">
        <v>527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11" t="n">
        <v>45273</v>
      </c>
      <c r="EP93" s="6" t="n">
        <v>40641</v>
      </c>
      <c r="EQ93" s="0" t="s">
        <v>527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11" t="n">
        <v>45274</v>
      </c>
      <c r="EP94" s="6" t="n">
        <v>78979.6</v>
      </c>
      <c r="EQ94" s="0" t="s">
        <v>527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11" t="n">
        <v>45275</v>
      </c>
      <c r="EP95" s="6" t="n">
        <v>63686.2</v>
      </c>
      <c r="EQ95" s="0" t="s">
        <v>527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11" t="n">
        <v>45278</v>
      </c>
      <c r="EP96" s="6" t="n">
        <v>236.43</v>
      </c>
      <c r="EQ96" s="0" t="s">
        <v>527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11" t="n">
        <v>45279</v>
      </c>
      <c r="EP97" s="6" t="n">
        <v>236.57</v>
      </c>
      <c r="EQ97" s="0" t="s">
        <v>527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11" t="n">
        <v>45280</v>
      </c>
      <c r="EP98" s="6" t="n">
        <v>328.7</v>
      </c>
      <c r="EQ98" s="0" t="s">
        <v>527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11" t="n">
        <v>45286</v>
      </c>
      <c r="EP99" s="6" t="n">
        <v>1568.54</v>
      </c>
      <c r="EQ99" s="0" t="s">
        <v>527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11" t="n">
        <v>45287</v>
      </c>
      <c r="EP100" s="6" t="n">
        <v>7259.44</v>
      </c>
      <c r="EQ100" s="0" t="s">
        <v>527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11" t="n">
        <v>45288</v>
      </c>
      <c r="EP101" s="6" t="n">
        <v>105979.03</v>
      </c>
      <c r="EQ101" s="0" t="s">
        <v>527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11" t="n">
        <v>45303</v>
      </c>
      <c r="EP102" s="6" t="n">
        <v>172.67</v>
      </c>
      <c r="EQ102" s="0" t="s">
        <v>527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11" t="n">
        <v>45307</v>
      </c>
      <c r="EP103" s="6" t="n">
        <v>-21762.16</v>
      </c>
      <c r="EQ103" s="0" t="s">
        <v>528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11" t="n">
        <v>45308</v>
      </c>
      <c r="EP104" s="6" t="n">
        <v>-5117.81</v>
      </c>
      <c r="EQ104" s="0" t="s">
        <v>528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11" t="n">
        <v>45315</v>
      </c>
      <c r="EP105" s="6" t="n">
        <v>26.68</v>
      </c>
      <c r="EQ105" s="0" t="s">
        <v>527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11" t="n">
        <v>45316</v>
      </c>
      <c r="EP106" s="6" t="n">
        <v>90.76</v>
      </c>
      <c r="EQ106" s="0" t="s">
        <v>527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11" t="n">
        <v>45321</v>
      </c>
      <c r="EP107" s="6" t="n">
        <v>-23324.26</v>
      </c>
      <c r="EQ107" s="0" t="s">
        <v>528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11" t="n">
        <v>45323</v>
      </c>
      <c r="EP108" s="6" t="n">
        <v>-1606.08</v>
      </c>
      <c r="EQ108" s="0" t="s">
        <v>528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11" t="n">
        <v>45324</v>
      </c>
      <c r="EP109" s="6" t="n">
        <v>-100509.38</v>
      </c>
      <c r="EQ109" s="0" t="s">
        <v>528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11" t="n">
        <v>45327</v>
      </c>
      <c r="EP110" s="6" t="n">
        <v>-30813.05</v>
      </c>
      <c r="EQ110" s="0" t="s">
        <v>528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11" t="n">
        <v>45336</v>
      </c>
      <c r="EP111" s="6" t="n">
        <v>13.46</v>
      </c>
      <c r="EQ111" s="0" t="s">
        <v>527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11" t="n">
        <v>45341</v>
      </c>
      <c r="EP112" s="6" t="n">
        <v>-12809.8</v>
      </c>
      <c r="EQ112" s="0" t="s">
        <v>528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11" t="n">
        <v>45341</v>
      </c>
      <c r="EP113" s="6" t="n">
        <v>88.99</v>
      </c>
      <c r="EQ113" s="0" t="s">
        <v>527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11" t="n">
        <v>45348</v>
      </c>
      <c r="EP114" s="6" t="n">
        <v>-7432.79</v>
      </c>
      <c r="EQ114" s="0" t="s">
        <v>528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11" t="n">
        <v>45365</v>
      </c>
      <c r="EP115" s="6" t="n">
        <v>-9608.25</v>
      </c>
      <c r="EQ115" s="0" t="s">
        <v>528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11" t="n">
        <v>45366</v>
      </c>
      <c r="EP116" s="6" t="n">
        <v>-5060.44</v>
      </c>
      <c r="EQ116" s="0" t="s">
        <v>528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11" t="n">
        <v>45369</v>
      </c>
      <c r="EP117" s="6" t="n">
        <v>-22350.23</v>
      </c>
      <c r="EQ117" s="0" t="s">
        <v>528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11" t="n">
        <v>45379</v>
      </c>
      <c r="EP118" s="6" t="n">
        <v>-7754.2</v>
      </c>
      <c r="EQ118" s="0" t="s">
        <v>528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11" t="n">
        <v>45383</v>
      </c>
      <c r="EP119" s="6" t="n">
        <v>617.63</v>
      </c>
      <c r="EQ119" s="0" t="s">
        <v>527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11" t="n">
        <v>45391</v>
      </c>
      <c r="EP120" s="6" t="n">
        <v>-19594.71</v>
      </c>
      <c r="EQ120" s="0" t="s">
        <v>528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11" t="n">
        <v>45397</v>
      </c>
      <c r="EP121" s="6" t="n">
        <v>165.59</v>
      </c>
      <c r="EQ121" s="0" t="s">
        <v>527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11" t="n">
        <v>45401</v>
      </c>
      <c r="EP122" s="6" t="n">
        <v>-1590.57</v>
      </c>
      <c r="EQ122" s="0" t="s">
        <v>528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11" t="n">
        <v>45404</v>
      </c>
      <c r="EP123" s="6" t="n">
        <v>228.36</v>
      </c>
      <c r="EQ123" s="0" t="s">
        <v>527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11" t="n">
        <v>45409</v>
      </c>
      <c r="EP124" s="6" t="n">
        <v>437.16</v>
      </c>
      <c r="EQ124" s="0" t="s">
        <v>527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11" t="n">
        <v>45414</v>
      </c>
      <c r="EP125" s="6" t="n">
        <v>73.67</v>
      </c>
      <c r="EQ125" s="0" t="s">
        <v>527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11" t="n">
        <v>45418</v>
      </c>
      <c r="EP126" s="6" t="n">
        <v>-3571.51</v>
      </c>
      <c r="EQ126" s="0" t="s">
        <v>528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11" t="n">
        <v>45429</v>
      </c>
      <c r="EP127" s="6" t="n">
        <v>-45888.24</v>
      </c>
      <c r="EQ127" s="0" t="s">
        <v>528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11" t="n">
        <v>45435</v>
      </c>
      <c r="EP128" s="6" t="n">
        <v>-580.55</v>
      </c>
      <c r="EQ128" s="0" t="s">
        <v>528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11" t="n">
        <v>45442</v>
      </c>
      <c r="EP129" s="6" t="n">
        <v>-4037.52</v>
      </c>
      <c r="EQ129" s="0" t="s">
        <v>528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11" t="n">
        <v>45446</v>
      </c>
      <c r="EP130" s="6" t="n">
        <v>-2611.06</v>
      </c>
      <c r="EQ130" s="0" t="s">
        <v>528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11" t="n">
        <v>45447</v>
      </c>
      <c r="EP131" s="6" t="n">
        <v>-5502.06</v>
      </c>
      <c r="EQ131" s="0" t="s">
        <v>528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11" t="n">
        <v>45454</v>
      </c>
      <c r="EP132" s="6" t="n">
        <v>-14459.26</v>
      </c>
      <c r="EQ132" s="0" t="s">
        <v>528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11" t="n">
        <v>45461</v>
      </c>
      <c r="EP133" s="6" t="n">
        <v>-10070.64</v>
      </c>
      <c r="EQ133" s="0" t="s">
        <v>528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11" t="n">
        <v>45463</v>
      </c>
      <c r="EP134" s="6" t="n">
        <v>-4115.97</v>
      </c>
      <c r="EQ134" s="0" t="s">
        <v>528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11" t="n">
        <v>45464</v>
      </c>
      <c r="EP135" s="6" t="n">
        <v>-265.75</v>
      </c>
      <c r="EQ135" s="0" t="s">
        <v>528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11" t="n">
        <v>45474</v>
      </c>
      <c r="EP136" s="6" t="n">
        <v>4684.44</v>
      </c>
      <c r="EQ136" s="0" t="s">
        <v>527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11" t="n">
        <v>45483</v>
      </c>
      <c r="EP137" s="6" t="n">
        <v>-2533.58</v>
      </c>
      <c r="EQ137" s="0" t="s">
        <v>528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11" t="n">
        <v>45484</v>
      </c>
      <c r="EP138" s="6" t="n">
        <v>-1661.24</v>
      </c>
      <c r="EQ138" s="0" t="s">
        <v>528</v>
      </c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11" t="n">
        <v>45491</v>
      </c>
      <c r="EP139" s="6" t="n">
        <v>366.36</v>
      </c>
      <c r="EQ139" s="0" t="s">
        <v>527</v>
      </c>
    </row>
    <row collapsed="false" customFormat="false" customHeight="false" hidden="false" ht="12.1" outlineLevel="0" r="140">
      <c r="A140" s="0"/>
      <c r="B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11" t="n">
        <v>45492</v>
      </c>
      <c r="EP140" s="6" t="n">
        <v>-589.74</v>
      </c>
      <c r="EQ140" s="0" t="s">
        <v>528</v>
      </c>
    </row>
    <row collapsed="false" customFormat="false" customHeight="false" hidden="false" ht="12.1" outlineLevel="0" r="141">
      <c r="A141" s="0"/>
      <c r="B141" s="0"/>
      <c r="C141" s="0"/>
      <c r="D141" s="0"/>
      <c r="E141" s="0"/>
      <c r="F141" s="0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11" t="n">
        <v>45499</v>
      </c>
      <c r="EP141" s="6" t="n">
        <v>677.98</v>
      </c>
      <c r="EQ141" s="0" t="s">
        <v>527</v>
      </c>
    </row>
    <row collapsed="false" customFormat="false" customHeight="false" hidden="false" ht="12.1" outlineLevel="0" r="142">
      <c r="A142" s="0"/>
      <c r="B142" s="0"/>
      <c r="C142" s="0"/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11" t="n">
        <v>45503</v>
      </c>
      <c r="EP142" s="6" t="n">
        <v>-967.41</v>
      </c>
      <c r="EQ142" s="0" t="s">
        <v>528</v>
      </c>
    </row>
    <row collapsed="false" customFormat="false" customHeight="false" hidden="false" ht="12.1" outlineLevel="0" r="143">
      <c r="A143" s="0"/>
      <c r="B143" s="0"/>
      <c r="C143" s="0"/>
      <c r="D143" s="0"/>
      <c r="E143" s="0"/>
      <c r="F143" s="0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11" t="n">
        <v>45517</v>
      </c>
      <c r="EP143" s="6" t="n">
        <v>566.79</v>
      </c>
      <c r="EQ143" s="0" t="s">
        <v>527</v>
      </c>
    </row>
    <row collapsed="false" customFormat="false" customHeight="false" hidden="false" ht="12.1" outlineLevel="0" r="144">
      <c r="A144" s="0"/>
      <c r="B144" s="0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11" t="n">
        <v>45526</v>
      </c>
      <c r="EP144" s="6" t="n">
        <v>-540.05</v>
      </c>
      <c r="EQ144" s="0" t="s">
        <v>528</v>
      </c>
    </row>
    <row collapsed="false" customFormat="false" customHeight="false" hidden="false" ht="12.1" outlineLevel="0" r="145">
      <c r="A145" s="0"/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11" t="n">
        <v>45537</v>
      </c>
      <c r="EP145" s="6" t="n">
        <v>-29.34</v>
      </c>
      <c r="EQ145" s="0" t="s">
        <v>528</v>
      </c>
    </row>
    <row collapsed="false" customFormat="false" customHeight="false" hidden="false" ht="12.1" outlineLevel="0" r="146">
      <c r="A146" s="0"/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11" t="n">
        <v>45551</v>
      </c>
      <c r="EP146" s="6" t="n">
        <v>38417.6</v>
      </c>
      <c r="EQ146" s="0" t="s">
        <v>527</v>
      </c>
    </row>
    <row collapsed="false" customFormat="false" customHeight="false" hidden="false" ht="12.1" outlineLevel="0" r="147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11" t="n">
        <v>45559</v>
      </c>
      <c r="EP147" s="6" t="n">
        <v>11051.33</v>
      </c>
      <c r="EQ147" s="0" t="s">
        <v>527</v>
      </c>
    </row>
    <row collapsed="false" customFormat="false" customHeight="false" hidden="false" ht="12.1" outlineLevel="0" r="148">
      <c r="A148" s="0"/>
      <c r="B148" s="0"/>
      <c r="C148" s="0"/>
      <c r="D148" s="0"/>
      <c r="E148" s="0"/>
      <c r="F148" s="0"/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11" t="n">
        <v>45560</v>
      </c>
      <c r="EP148" s="6" t="n">
        <v>1706.72</v>
      </c>
      <c r="EQ148" s="0" t="s">
        <v>527</v>
      </c>
    </row>
    <row collapsed="false" customFormat="false" customHeight="false" hidden="false" ht="12.1" outlineLevel="0" r="149">
      <c r="A149" s="0"/>
      <c r="B149" s="0"/>
      <c r="C149" s="0"/>
      <c r="D149" s="0"/>
      <c r="E149" s="0"/>
      <c r="F149" s="0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11" t="n">
        <v>45561</v>
      </c>
      <c r="EP149" s="6" t="n">
        <v>742.4</v>
      </c>
      <c r="EQ149" s="0" t="s">
        <v>527</v>
      </c>
    </row>
    <row collapsed="false" customFormat="false" customHeight="false" hidden="false" ht="12.1" outlineLevel="0" r="150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11" t="n">
        <v>45565</v>
      </c>
      <c r="EP150" s="6" t="n">
        <v>401.71</v>
      </c>
      <c r="EQ150" s="0" t="s">
        <v>527</v>
      </c>
    </row>
    <row collapsed="false" customFormat="false" customHeight="false" hidden="false" ht="12.1" outlineLevel="0" r="151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11" t="n">
        <v>45593</v>
      </c>
      <c r="EP151" s="6" t="n">
        <v>-9986.27</v>
      </c>
      <c r="EQ151" s="0" t="s">
        <v>528</v>
      </c>
    </row>
    <row collapsed="false" customFormat="false" customHeight="false" hidden="false" ht="12.1" outlineLevel="0" r="152">
      <c r="A152" s="0"/>
      <c r="B152" s="0"/>
      <c r="C152" s="0"/>
      <c r="D152" s="0"/>
      <c r="E152" s="0"/>
      <c r="F152" s="0"/>
      <c r="G152" s="0"/>
      <c r="H152" s="0"/>
      <c r="I152" s="0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11" t="n">
        <v>45594</v>
      </c>
      <c r="EP152" s="6" t="n">
        <v>-43383.75</v>
      </c>
      <c r="EQ152" s="0" t="s">
        <v>528</v>
      </c>
    </row>
    <row collapsed="false" customFormat="false" customHeight="false" hidden="false" ht="12.1" outlineLevel="0" r="153">
      <c r="A153" s="0"/>
      <c r="B153" s="0"/>
      <c r="C153" s="0"/>
      <c r="D153" s="0"/>
      <c r="E153" s="0"/>
      <c r="F153" s="0"/>
      <c r="G153" s="0"/>
      <c r="H153" s="0"/>
      <c r="I153" s="0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11" t="n">
        <v>45597</v>
      </c>
      <c r="EP153" s="6" t="n">
        <v>302.28</v>
      </c>
      <c r="EQ153" s="0" t="s">
        <v>527</v>
      </c>
    </row>
    <row collapsed="false" customFormat="false" customHeight="false" hidden="false" ht="12.1" outlineLevel="0" r="154">
      <c r="A154" s="0"/>
      <c r="B154" s="0"/>
      <c r="C154" s="0"/>
      <c r="D154" s="0"/>
      <c r="E154" s="0"/>
      <c r="F154" s="0"/>
      <c r="G154" s="0"/>
      <c r="H154" s="0"/>
      <c r="I154" s="0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11" t="n">
        <v>45602</v>
      </c>
      <c r="EP154" s="6" t="n">
        <v>12274.74</v>
      </c>
      <c r="EQ154" s="0" t="s">
        <v>527</v>
      </c>
    </row>
    <row collapsed="false" customFormat="false" customHeight="false" hidden="false" ht="12.1" outlineLevel="0" r="155">
      <c r="A155" s="0"/>
      <c r="B155" s="0"/>
      <c r="C155" s="0"/>
      <c r="D155" s="0"/>
      <c r="E155" s="0"/>
      <c r="F155" s="0"/>
      <c r="G155" s="0"/>
      <c r="H155" s="0"/>
      <c r="I155" s="0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11" t="n">
        <v>45603</v>
      </c>
      <c r="EP155" s="6" t="n">
        <v>7808.95</v>
      </c>
      <c r="EQ155" s="0" t="s">
        <v>527</v>
      </c>
    </row>
    <row collapsed="false" customFormat="false" customHeight="false" hidden="false" ht="12.1" outlineLevel="0" r="156">
      <c r="A156" s="0"/>
      <c r="B156" s="0"/>
      <c r="C156" s="0"/>
      <c r="D156" s="0"/>
      <c r="E156" s="0"/>
      <c r="F156" s="0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11" t="n">
        <v>45604</v>
      </c>
      <c r="EP156" s="6" t="n">
        <v>-8929.37</v>
      </c>
      <c r="EQ156" s="0" t="s">
        <v>528</v>
      </c>
    </row>
    <row collapsed="false" customFormat="false" customHeight="false" hidden="false" ht="12.1" outlineLevel="0" r="157">
      <c r="A157" s="0"/>
      <c r="B157" s="0"/>
      <c r="C157" s="0"/>
      <c r="D157" s="0"/>
      <c r="E157" s="0"/>
      <c r="F157" s="0"/>
      <c r="G157" s="0"/>
      <c r="H157" s="0"/>
      <c r="I157" s="0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11" t="n">
        <v>45607</v>
      </c>
      <c r="EP157" s="6" t="n">
        <v>-5621.78</v>
      </c>
      <c r="EQ157" s="0" t="s">
        <v>528</v>
      </c>
    </row>
    <row collapsed="false" customFormat="false" customHeight="false" hidden="false" ht="12.1" outlineLevel="0" r="158">
      <c r="A158" s="0"/>
      <c r="B158" s="0"/>
      <c r="C158" s="0"/>
      <c r="D158" s="0"/>
      <c r="E158" s="0"/>
      <c r="F158" s="0"/>
      <c r="G158" s="0"/>
      <c r="H158" s="0"/>
      <c r="I158" s="0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11" t="n">
        <v>45607</v>
      </c>
      <c r="EP158" s="6" t="n">
        <v>410.27</v>
      </c>
      <c r="EQ158" s="0" t="s">
        <v>527</v>
      </c>
    </row>
    <row collapsed="false" customFormat="false" customHeight="false" hidden="false" ht="12.1" outlineLevel="0" r="159">
      <c r="A159" s="0"/>
      <c r="B159" s="0"/>
      <c r="C159" s="0"/>
      <c r="D159" s="0"/>
      <c r="E159" s="0"/>
      <c r="F159" s="0"/>
      <c r="G159" s="0"/>
      <c r="H159" s="0"/>
      <c r="I159" s="0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11" t="n">
        <v>45610</v>
      </c>
      <c r="EP159" s="6" t="n">
        <v>494.78</v>
      </c>
      <c r="EQ159" s="0" t="s">
        <v>527</v>
      </c>
    </row>
    <row collapsed="false" customFormat="false" customHeight="false" hidden="false" ht="12.1" outlineLevel="0" r="160">
      <c r="A160" s="0"/>
      <c r="B160" s="0"/>
      <c r="C160" s="0"/>
      <c r="D160" s="0"/>
      <c r="E160" s="0"/>
      <c r="F160" s="0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11" t="n">
        <v>45621</v>
      </c>
      <c r="EP160" s="6" t="n">
        <v>-4365.35</v>
      </c>
      <c r="EQ160" s="0" t="s">
        <v>528</v>
      </c>
    </row>
    <row collapsed="false" customFormat="false" customHeight="false" hidden="false" ht="12.1" outlineLevel="0" r="161">
      <c r="A161" s="0"/>
      <c r="B161" s="0"/>
      <c r="C161" s="0"/>
      <c r="D161" s="0"/>
      <c r="E161" s="0"/>
      <c r="F161" s="0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11" t="n">
        <v>45628</v>
      </c>
      <c r="EP161" s="6" t="n">
        <v>384.43</v>
      </c>
      <c r="EQ161" s="0" t="s">
        <v>527</v>
      </c>
    </row>
    <row collapsed="false" customFormat="false" customHeight="false" hidden="false" ht="12.1" outlineLevel="0" r="162">
      <c r="A162" s="0"/>
      <c r="B162" s="0"/>
      <c r="C162" s="0"/>
      <c r="D162" s="0"/>
      <c r="E162" s="0"/>
      <c r="F162" s="0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11" t="n">
        <v>45636</v>
      </c>
      <c r="EP162" s="6" t="n">
        <v>84.96</v>
      </c>
      <c r="EQ162" s="0" t="s">
        <v>527</v>
      </c>
    </row>
    <row collapsed="false" customFormat="false" customHeight="false" hidden="false" ht="12.1" outlineLevel="0" r="163">
      <c r="A163" s="0"/>
      <c r="B163" s="0"/>
      <c r="C163" s="0"/>
      <c r="D163" s="0"/>
      <c r="E163" s="0"/>
      <c r="F163" s="0"/>
      <c r="G163" s="0"/>
      <c r="H163" s="0"/>
      <c r="I163" s="0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11" t="n">
        <v>45670</v>
      </c>
      <c r="EP163" s="6" t="n">
        <v>3085.62</v>
      </c>
      <c r="EQ163" s="0" t="s">
        <v>527</v>
      </c>
    </row>
    <row collapsed="false" customFormat="false" customHeight="false" hidden="false" ht="12.1" outlineLevel="0" r="164">
      <c r="A164" s="0"/>
      <c r="B164" s="0"/>
      <c r="C164" s="0"/>
      <c r="D164" s="0"/>
      <c r="E164" s="0"/>
      <c r="F164" s="0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11" t="n">
        <v>45685</v>
      </c>
      <c r="EP164" s="6" t="n">
        <v>-3952.38</v>
      </c>
      <c r="EQ164" s="0" t="s">
        <v>528</v>
      </c>
    </row>
    <row collapsed="false" customFormat="false" customHeight="false" hidden="false" ht="12.1" outlineLevel="0" r="165">
      <c r="A165" s="0"/>
      <c r="B165" s="0"/>
      <c r="C165" s="0"/>
      <c r="D165" s="0"/>
      <c r="E165" s="0"/>
      <c r="F165" s="0"/>
      <c r="G165" s="0"/>
      <c r="H165" s="0"/>
      <c r="I165" s="0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11" t="n">
        <v>45691</v>
      </c>
      <c r="EP165" s="6" t="n">
        <v>624.3</v>
      </c>
      <c r="EQ165" s="0" t="s">
        <v>527</v>
      </c>
    </row>
    <row collapsed="false" customFormat="false" customHeight="false" hidden="false" ht="12.1" outlineLevel="0" r="166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11" t="n">
        <v>45695</v>
      </c>
      <c r="EP166" s="6" t="n">
        <v>3578.85</v>
      </c>
      <c r="EQ166" s="0" t="s">
        <v>527</v>
      </c>
    </row>
    <row collapsed="false" customFormat="false" customHeight="false" hidden="false" ht="12.1" outlineLevel="0" r="167">
      <c r="A167" s="0"/>
      <c r="B167" s="0"/>
      <c r="C167" s="0"/>
      <c r="D167" s="0"/>
      <c r="E167" s="0"/>
      <c r="F167" s="0"/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11" t="n">
        <v>45695</v>
      </c>
      <c r="EP167" s="6" t="n">
        <v>-6230.64</v>
      </c>
      <c r="EQ167" s="0" t="s">
        <v>528</v>
      </c>
    </row>
    <row collapsed="false" customFormat="false" customHeight="false" hidden="false" ht="12.1" outlineLevel="0" r="168">
      <c r="A168" s="0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11" t="n">
        <v>45698</v>
      </c>
      <c r="EP168" s="6" t="n">
        <v>119.9</v>
      </c>
      <c r="EQ168" s="0" t="s">
        <v>527</v>
      </c>
    </row>
    <row collapsed="false" customFormat="false" customHeight="false" hidden="false" ht="12.1" outlineLevel="0" r="169">
      <c r="A169" s="0"/>
      <c r="B169" s="0"/>
      <c r="C169" s="0"/>
      <c r="D169" s="0"/>
      <c r="E169" s="0"/>
      <c r="F169" s="0"/>
      <c r="G169" s="0"/>
      <c r="H169" s="0"/>
      <c r="I169" s="0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11" t="n">
        <v>45700</v>
      </c>
      <c r="EP169" s="6" t="n">
        <v>656.21</v>
      </c>
      <c r="EQ169" s="0" t="s">
        <v>527</v>
      </c>
    </row>
    <row collapsed="false" customFormat="false" customHeight="false" hidden="false" ht="12.1" outlineLevel="0" r="170">
      <c r="A170" s="0"/>
      <c r="B170" s="0"/>
      <c r="C170" s="0"/>
      <c r="D170" s="0"/>
      <c r="E170" s="0"/>
      <c r="F170" s="0"/>
      <c r="G170" s="0"/>
      <c r="H170" s="0"/>
      <c r="I170" s="0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11" t="n">
        <v>45701</v>
      </c>
      <c r="EP170" s="6" t="n">
        <v>48.04</v>
      </c>
      <c r="EQ170" s="0" t="s">
        <v>527</v>
      </c>
    </row>
    <row collapsed="false" customFormat="false" customHeight="false" hidden="false" ht="12.1" outlineLevel="0" r="171">
      <c r="A171" s="0"/>
      <c r="B171" s="0"/>
      <c r="C171" s="0"/>
      <c r="D171" s="0"/>
      <c r="E171" s="0"/>
      <c r="F171" s="0"/>
      <c r="G171" s="0"/>
      <c r="H171" s="0"/>
      <c r="I171" s="0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11" t="n">
        <v>45721</v>
      </c>
      <c r="EP171" s="6" t="n">
        <v>566.72</v>
      </c>
      <c r="EQ171" s="0" t="s">
        <v>527</v>
      </c>
    </row>
    <row collapsed="false" customFormat="false" customHeight="false" hidden="false" ht="12.1" outlineLevel="0" r="172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11" t="n">
        <v>45727</v>
      </c>
      <c r="EP172" s="6" t="n">
        <v>406.2</v>
      </c>
      <c r="EQ172" s="0" t="s">
        <v>527</v>
      </c>
    </row>
    <row collapsed="false" customFormat="false" customHeight="false" hidden="false" ht="12.1" outlineLevel="0" r="173">
      <c r="A173" s="0"/>
      <c r="B173" s="0"/>
      <c r="C173" s="0"/>
      <c r="D173" s="0"/>
      <c r="E173" s="0"/>
      <c r="F173" s="0"/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11" t="n">
        <v>45749</v>
      </c>
      <c r="EP173" s="6" t="n">
        <v>411.42</v>
      </c>
      <c r="EQ173" s="0" t="s">
        <v>527</v>
      </c>
    </row>
    <row collapsed="false" customFormat="false" customHeight="false" hidden="false" ht="12.1" outlineLevel="0" r="174">
      <c r="A174" s="0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11" t="n">
        <v>45810</v>
      </c>
      <c r="EP174" s="6" t="n">
        <v>511.05</v>
      </c>
      <c r="EQ174" s="0" t="s">
        <v>527</v>
      </c>
    </row>
    <row collapsed="false" customFormat="false" customHeight="false" hidden="false" ht="12.1" outlineLevel="0" r="175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11" t="n">
        <v>45849</v>
      </c>
      <c r="EP175" s="6" t="n">
        <v>4965.84</v>
      </c>
      <c r="EQ175" s="0" t="s">
        <v>527</v>
      </c>
    </row>
    <row collapsed="false" customFormat="false" customHeight="false" hidden="false" ht="12.1" outlineLevel="0" r="176">
      <c r="A176" s="0"/>
      <c r="B176" s="0"/>
      <c r="C176" s="0"/>
      <c r="D176" s="0"/>
      <c r="E176" s="0"/>
      <c r="F176" s="0"/>
      <c r="G176" s="0"/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11" t="n">
        <v>45852</v>
      </c>
      <c r="EP176" s="6" t="n">
        <v>-5403.92</v>
      </c>
      <c r="EQ176" s="0" t="s">
        <v>528</v>
      </c>
    </row>
    <row collapsed="false" customFormat="false" customHeight="false" hidden="false" ht="12.1" outlineLevel="0" r="177">
      <c r="A177" s="0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11" t="n">
        <v>45855</v>
      </c>
      <c r="EP177" s="6" t="n">
        <v>3230.1</v>
      </c>
      <c r="EQ177" s="0" t="s">
        <v>527</v>
      </c>
    </row>
    <row collapsed="false" customFormat="false" customHeight="false" hidden="false" ht="12.1" outlineLevel="0" r="178">
      <c r="A178" s="0"/>
      <c r="B178" s="0"/>
      <c r="C178" s="0"/>
      <c r="D178" s="0"/>
      <c r="E178" s="0"/>
      <c r="F178" s="0"/>
      <c r="G178" s="0"/>
      <c r="H178" s="0"/>
      <c r="I178" s="0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11" t="n">
        <v>45874</v>
      </c>
      <c r="EP178" s="6" t="n">
        <v>264.41</v>
      </c>
      <c r="EQ178" s="0" t="s">
        <v>527</v>
      </c>
    </row>
    <row collapsed="false" customFormat="false" customHeight="false" hidden="false" ht="12.1" outlineLevel="0" r="179">
      <c r="A179" s="0"/>
      <c r="B179" s="0"/>
      <c r="C179" s="0"/>
      <c r="D179" s="0"/>
      <c r="E179" s="0"/>
      <c r="F179" s="0"/>
      <c r="G179" s="0"/>
      <c r="H179" s="0"/>
      <c r="I179" s="0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11" t="n">
        <v>45880</v>
      </c>
      <c r="EP179" s="6" t="n">
        <v>7247.57</v>
      </c>
      <c r="EQ179" s="0" t="s">
        <v>527</v>
      </c>
    </row>
    <row collapsed="false" customFormat="false" customHeight="false" hidden="false" ht="12.1" outlineLevel="0" r="180">
      <c r="A180" s="0"/>
      <c r="B180" s="0"/>
      <c r="C180" s="0"/>
      <c r="D180" s="0"/>
      <c r="E180" s="0"/>
      <c r="F180" s="0"/>
      <c r="G180" s="0"/>
      <c r="H180" s="0"/>
      <c r="I180" s="0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11" t="n">
        <v>45901</v>
      </c>
      <c r="EP180" s="6" t="n">
        <v>803.66</v>
      </c>
      <c r="EQ180" s="0" t="s">
        <v>527</v>
      </c>
    </row>
    <row collapsed="false" customFormat="false" customHeight="false" hidden="false" ht="12.1" outlineLevel="0" r="181">
      <c r="A181" s="0"/>
      <c r="B181" s="0"/>
      <c r="C181" s="0"/>
      <c r="D181" s="0"/>
      <c r="E181" s="0"/>
      <c r="F181" s="0"/>
      <c r="G181" s="0"/>
      <c r="H181" s="0"/>
      <c r="I181" s="0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11" t="n">
        <v>45902</v>
      </c>
      <c r="EP181" s="6" t="n">
        <v>285.89</v>
      </c>
      <c r="EQ181" s="0" t="s">
        <v>527</v>
      </c>
    </row>
    <row collapsed="false" customFormat="false" customHeight="false" hidden="false" ht="12.1" outlineLevel="0" r="182">
      <c r="A182" s="0"/>
      <c r="B182" s="0"/>
      <c r="C182" s="0"/>
      <c r="D182" s="0"/>
      <c r="E182" s="0"/>
      <c r="F182" s="0"/>
      <c r="G182" s="0"/>
      <c r="H182" s="0"/>
      <c r="I182" s="0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11" t="n">
        <v>45910</v>
      </c>
      <c r="EP182" s="8" t="s">
        <f>=-Портфель!J51</f>
      </c>
      <c r="EQ182" s="0" t="s">
        <v>529</v>
      </c>
    </row>
    <row collapsed="false" customFormat="false" customHeight="false" hidden="false" ht="12.1" outlineLevel="0" r="183">
      <c r="A183" s="0"/>
      <c r="B183" s="0"/>
      <c r="C183" s="0"/>
      <c r="D183" s="0"/>
      <c r="E183" s="0"/>
      <c r="F183" s="0"/>
      <c r="G183" s="0"/>
      <c r="H183" s="0"/>
      <c r="I183" s="0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10" t="s">
        <f>=XIRR(EP2:EP182,EO2:EO182)</f>
      </c>
      <c r="EQ183" s="0"/>
    </row>
    <row collapsed="false" customFormat="false" customHeight="false" hidden="false" ht="12.1" outlineLevel="0" r="184">
      <c r="A184" s="0"/>
      <c r="B184" s="0"/>
      <c r="C184" s="0"/>
      <c r="D184" s="0"/>
      <c r="E184" s="0"/>
      <c r="F184" s="0"/>
      <c r="G184" s="0"/>
      <c r="H184" s="0"/>
      <c r="I184" s="0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8" t="s">
        <f>=-SUM(EP2:EP182)</f>
      </c>
      <c r="EQ184" s="0" t="s">
        <v>531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532</v>
      </c>
      <c r="C1" s="0"/>
      <c r="D1" s="0"/>
      <c r="E1" s="4" t="s">
        <v>533</v>
      </c>
      <c r="F1" s="0"/>
      <c r="G1" s="0"/>
      <c r="H1" s="4" t="s">
        <v>534</v>
      </c>
      <c r="I1" s="0"/>
      <c r="J1" s="0"/>
      <c r="K1" s="4" t="s">
        <v>535</v>
      </c>
      <c r="L1" s="0"/>
      <c r="M1" s="0"/>
      <c r="N1" s="4" t="s">
        <v>536</v>
      </c>
      <c r="O1" s="0"/>
      <c r="P1" s="0"/>
      <c r="Q1" s="4" t="s">
        <v>537</v>
      </c>
      <c r="R1" s="0"/>
      <c r="S1" s="0"/>
      <c r="T1" s="4" t="s">
        <v>538</v>
      </c>
      <c r="U1" s="0"/>
      <c r="V1" s="0"/>
      <c r="W1" s="4" t="s">
        <v>539</v>
      </c>
      <c r="X1" s="0"/>
      <c r="Y1" s="0"/>
      <c r="Z1" s="4" t="s">
        <v>540</v>
      </c>
      <c r="AA1" s="0"/>
      <c r="AB1" s="0"/>
      <c r="AC1" s="4" t="s">
        <v>541</v>
      </c>
      <c r="AD1" s="0"/>
      <c r="AE1" s="0"/>
      <c r="AF1" s="4" t="s">
        <v>542</v>
      </c>
      <c r="AG1" s="0"/>
      <c r="AH1" s="0"/>
      <c r="AI1" s="4" t="s">
        <v>543</v>
      </c>
      <c r="AJ1" s="0"/>
      <c r="AK1" s="0"/>
      <c r="AL1" s="4" t="s">
        <v>544</v>
      </c>
      <c r="AM1" s="0"/>
      <c r="AN1" s="0"/>
      <c r="AO1" s="4" t="s">
        <v>545</v>
      </c>
      <c r="AP1" s="0"/>
      <c r="AQ1" s="0"/>
      <c r="AR1" s="4" t="s">
        <v>546</v>
      </c>
      <c r="AS1" s="0"/>
      <c r="AT1" s="0"/>
      <c r="AU1" s="4" t="s">
        <v>547</v>
      </c>
      <c r="AV1" s="0"/>
      <c r="AW1" s="0"/>
      <c r="AX1" s="4" t="s">
        <v>548</v>
      </c>
      <c r="AY1" s="0"/>
      <c r="AZ1" s="0"/>
      <c r="BA1" s="4" t="s">
        <v>549</v>
      </c>
      <c r="BB1" s="0"/>
      <c r="BC1" s="0"/>
      <c r="BD1" s="4" t="s">
        <v>550</v>
      </c>
      <c r="BE1" s="0"/>
      <c r="BF1" s="0"/>
      <c r="BG1" s="4" t="s">
        <v>551</v>
      </c>
      <c r="BH1" s="0"/>
      <c r="BI1" s="0"/>
      <c r="BJ1" s="4" t="s">
        <v>552</v>
      </c>
      <c r="BK1" s="0"/>
    </row>
    <row collapsed="false" customFormat="false" customHeight="false" hidden="false" ht="12.1" outlineLevel="0" r="2">
      <c r="A2" s="11" t="n">
        <v>44645</v>
      </c>
      <c r="B2" s="6" t="n">
        <v>179.86</v>
      </c>
      <c r="C2" s="0" t="s">
        <v>527</v>
      </c>
      <c r="D2" s="11" t="n">
        <v>44648</v>
      </c>
      <c r="E2" s="6" t="n">
        <v>70.06</v>
      </c>
      <c r="F2" s="0" t="s">
        <v>527</v>
      </c>
      <c r="G2" s="11" t="n">
        <v>44651</v>
      </c>
      <c r="H2" s="6" t="n">
        <v>1387.83</v>
      </c>
      <c r="I2" s="0" t="s">
        <v>527</v>
      </c>
      <c r="J2" s="11" t="n">
        <v>44659</v>
      </c>
      <c r="K2" s="6" t="n">
        <v>723.58</v>
      </c>
      <c r="L2" s="0" t="s">
        <v>527</v>
      </c>
      <c r="M2" s="11" t="n">
        <v>44659</v>
      </c>
      <c r="N2" s="6" t="n">
        <v>870.73</v>
      </c>
      <c r="O2" s="0" t="s">
        <v>527</v>
      </c>
      <c r="P2" s="11" t="n">
        <v>44761</v>
      </c>
      <c r="Q2" s="6" t="n">
        <v>352.01</v>
      </c>
      <c r="R2" s="0" t="s">
        <v>527</v>
      </c>
      <c r="S2" s="11" t="n">
        <v>44767</v>
      </c>
      <c r="T2" s="6" t="n">
        <v>195.32</v>
      </c>
      <c r="U2" s="0" t="s">
        <v>527</v>
      </c>
      <c r="V2" s="11" t="n">
        <v>44795</v>
      </c>
      <c r="W2" s="6" t="n">
        <v>1191.92</v>
      </c>
      <c r="X2" s="0" t="s">
        <v>527</v>
      </c>
      <c r="Y2" s="11" t="n">
        <v>44893</v>
      </c>
      <c r="Z2" s="6" t="n">
        <v>2653.33</v>
      </c>
      <c r="AA2" s="0" t="s">
        <v>527</v>
      </c>
      <c r="AB2" s="11" t="n">
        <v>45287</v>
      </c>
      <c r="AC2" s="6" t="n">
        <v>3034.14</v>
      </c>
      <c r="AD2" s="0" t="s">
        <v>527</v>
      </c>
      <c r="AE2" s="11" t="n">
        <v>45287</v>
      </c>
      <c r="AF2" s="6" t="n">
        <v>2091.5</v>
      </c>
      <c r="AG2" s="0" t="s">
        <v>527</v>
      </c>
      <c r="AH2" s="11" t="n">
        <v>45307</v>
      </c>
      <c r="AI2" s="6" t="n">
        <v>2940.32</v>
      </c>
      <c r="AJ2" s="0" t="s">
        <v>527</v>
      </c>
      <c r="AK2" s="11" t="n">
        <v>45307</v>
      </c>
      <c r="AL2" s="6" t="n">
        <v>2067.18</v>
      </c>
      <c r="AM2" s="0" t="s">
        <v>527</v>
      </c>
      <c r="AN2" s="11" t="n">
        <v>45321</v>
      </c>
      <c r="AO2" s="6" t="n">
        <v>1905.75</v>
      </c>
      <c r="AP2" s="0" t="s">
        <v>527</v>
      </c>
      <c r="AQ2" s="11" t="n">
        <v>45394</v>
      </c>
      <c r="AR2" s="6" t="n">
        <v>2351.18</v>
      </c>
      <c r="AS2" s="0" t="s">
        <v>527</v>
      </c>
      <c r="AT2" s="11" t="n">
        <v>45408</v>
      </c>
      <c r="AU2" s="6" t="n">
        <v>2501.25</v>
      </c>
      <c r="AV2" s="0" t="s">
        <v>527</v>
      </c>
      <c r="AW2" s="11" t="n">
        <v>45467</v>
      </c>
      <c r="AX2" s="6" t="n">
        <v>11925.04</v>
      </c>
      <c r="AY2" s="0" t="s">
        <v>527</v>
      </c>
      <c r="AZ2" s="11" t="n">
        <v>45537</v>
      </c>
      <c r="BA2" s="6" t="n">
        <v>1638.06</v>
      </c>
      <c r="BB2" s="0" t="s">
        <v>527</v>
      </c>
      <c r="BC2" s="11" t="n">
        <v>45604</v>
      </c>
      <c r="BD2" s="6" t="n">
        <v>4323.92</v>
      </c>
      <c r="BE2" s="0" t="s">
        <v>527</v>
      </c>
      <c r="BF2" s="11" t="n">
        <v>45685</v>
      </c>
      <c r="BG2" s="6" t="n">
        <v>3972.67</v>
      </c>
      <c r="BH2" s="0" t="s">
        <v>527</v>
      </c>
      <c r="BI2" s="11" t="n">
        <v>45695</v>
      </c>
      <c r="BJ2" s="6" t="n">
        <v>641.21</v>
      </c>
      <c r="BK2" s="0" t="s">
        <v>527</v>
      </c>
    </row>
    <row collapsed="false" customFormat="false" customHeight="false" hidden="false" ht="12.1" outlineLevel="0" r="3">
      <c r="A3" s="11" t="n">
        <v>44813</v>
      </c>
      <c r="B3" s="6" t="n">
        <v>-197.63</v>
      </c>
      <c r="C3" s="0" t="s">
        <v>528</v>
      </c>
      <c r="D3" s="11" t="n">
        <v>45852</v>
      </c>
      <c r="E3" s="6" t="n">
        <v>5417.71</v>
      </c>
      <c r="F3" s="0" t="s">
        <v>527</v>
      </c>
      <c r="G3" s="11" t="n">
        <v>45057</v>
      </c>
      <c r="H3" s="6" t="n">
        <v>-217</v>
      </c>
      <c r="I3" s="0" t="s">
        <v>268</v>
      </c>
      <c r="J3" s="11" t="n">
        <v>44923</v>
      </c>
      <c r="K3" s="6" t="n">
        <v>-608.81</v>
      </c>
      <c r="L3" s="0" t="s">
        <v>528</v>
      </c>
      <c r="M3" s="11" t="n">
        <v>44825</v>
      </c>
      <c r="N3" s="6" t="n">
        <v>-22.93</v>
      </c>
      <c r="O3" s="0" t="s">
        <v>262</v>
      </c>
      <c r="P3" s="11" t="n">
        <v>44809</v>
      </c>
      <c r="Q3" s="6" t="n">
        <v>-427.15</v>
      </c>
      <c r="R3" s="0" t="s">
        <v>528</v>
      </c>
      <c r="S3" s="11" t="n">
        <v>44767</v>
      </c>
      <c r="T3" s="6" t="n">
        <v>-199.48</v>
      </c>
      <c r="U3" s="0" t="s">
        <v>528</v>
      </c>
      <c r="V3" s="0"/>
      <c r="W3" s="10" t="s">
        <f>=XIRR(W2:W2,V2:V2)</f>
      </c>
      <c r="X3" s="0"/>
      <c r="Y3" s="11" t="n">
        <v>44894</v>
      </c>
      <c r="Z3" s="6" t="n">
        <v>-1339.33</v>
      </c>
      <c r="AA3" s="0" t="s">
        <v>528</v>
      </c>
      <c r="AB3" s="11" t="n">
        <v>45305</v>
      </c>
      <c r="AC3" s="6" t="n">
        <v>-35.08</v>
      </c>
      <c r="AD3" s="0" t="s">
        <v>287</v>
      </c>
      <c r="AE3" s="11" t="n">
        <v>45300</v>
      </c>
      <c r="AF3" s="6" t="n">
        <v>-77.76</v>
      </c>
      <c r="AG3" s="0" t="s">
        <v>285</v>
      </c>
      <c r="AH3" s="11" t="n">
        <v>45364</v>
      </c>
      <c r="AI3" s="6" t="n">
        <v>-103.08</v>
      </c>
      <c r="AJ3" s="0" t="s">
        <v>301</v>
      </c>
      <c r="AK3" s="11" t="n">
        <v>45342</v>
      </c>
      <c r="AL3" s="6" t="n">
        <v>-82.74</v>
      </c>
      <c r="AM3" s="0" t="s">
        <v>294</v>
      </c>
      <c r="AN3" s="11" t="n">
        <v>45332</v>
      </c>
      <c r="AO3" s="6" t="n">
        <v>-18.36</v>
      </c>
      <c r="AP3" s="0" t="s">
        <v>290</v>
      </c>
      <c r="AQ3" s="11" t="n">
        <v>45394</v>
      </c>
      <c r="AR3" s="6" t="n">
        <v>-2384.6</v>
      </c>
      <c r="AS3" s="0" t="s">
        <v>528</v>
      </c>
      <c r="AT3" s="11" t="n">
        <v>45408</v>
      </c>
      <c r="AU3" s="6" t="n">
        <v>-2664.67</v>
      </c>
      <c r="AV3" s="0" t="s">
        <v>528</v>
      </c>
      <c r="AW3" s="11" t="n">
        <v>45639</v>
      </c>
      <c r="AX3" s="6" t="n">
        <v>-1132.75</v>
      </c>
      <c r="AY3" s="0" t="s">
        <v>416</v>
      </c>
      <c r="AZ3" s="11" t="n">
        <v>45755</v>
      </c>
      <c r="BA3" s="6" t="n">
        <v>-2023.38</v>
      </c>
      <c r="BB3" s="0" t="s">
        <v>528</v>
      </c>
      <c r="BC3" s="11" t="n">
        <v>45667</v>
      </c>
      <c r="BD3" s="6" t="n">
        <v>-144.15</v>
      </c>
      <c r="BE3" s="0" t="s">
        <v>428</v>
      </c>
      <c r="BF3" s="11" t="n">
        <v>45695</v>
      </c>
      <c r="BG3" s="6" t="n">
        <v>-4230.11</v>
      </c>
      <c r="BH3" s="0" t="s">
        <v>528</v>
      </c>
      <c r="BI3" s="11" t="n">
        <v>45700</v>
      </c>
      <c r="BJ3" s="6" t="n">
        <v>-667.47</v>
      </c>
      <c r="BK3" s="0" t="s">
        <v>528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45880</v>
      </c>
      <c r="E4" s="6" t="n">
        <v>-6591.57</v>
      </c>
      <c r="F4" s="0" t="s">
        <v>528</v>
      </c>
      <c r="G4" s="11" t="n">
        <v>45484</v>
      </c>
      <c r="H4" s="6" t="n">
        <v>-290</v>
      </c>
      <c r="I4" s="0" t="s">
        <v>337</v>
      </c>
      <c r="J4" s="0"/>
      <c r="K4" s="10" t="s">
        <f>=XIRR(K2:K3,J2:J3)</f>
      </c>
      <c r="L4" s="0"/>
      <c r="M4" s="11" t="n">
        <v>44960</v>
      </c>
      <c r="N4" s="6" t="n">
        <v>-1002.39</v>
      </c>
      <c r="O4" s="0" t="s">
        <v>528</v>
      </c>
      <c r="P4" s="11" t="n">
        <v>44875</v>
      </c>
      <c r="Q4" s="6" t="n">
        <v>380.21</v>
      </c>
      <c r="R4" s="0" t="s">
        <v>527</v>
      </c>
      <c r="S4" s="11" t="n">
        <v>45435</v>
      </c>
      <c r="T4" s="6" t="n">
        <v>583.29</v>
      </c>
      <c r="U4" s="0" t="s">
        <v>527</v>
      </c>
      <c r="V4" s="0"/>
      <c r="W4" s="8" t="s">
        <f>=-SUM(W2:W2)</f>
      </c>
      <c r="X4" s="0" t="s">
        <v>531</v>
      </c>
      <c r="Y4" s="11" t="n">
        <v>44895</v>
      </c>
      <c r="Z4" s="6" t="n">
        <v>-1351.92</v>
      </c>
      <c r="AA4" s="0" t="s">
        <v>528</v>
      </c>
      <c r="AB4" s="11" t="n">
        <v>45335</v>
      </c>
      <c r="AC4" s="6" t="n">
        <v>-35.08</v>
      </c>
      <c r="AD4" s="0" t="s">
        <v>287</v>
      </c>
      <c r="AE4" s="11" t="n">
        <v>45391</v>
      </c>
      <c r="AF4" s="6" t="n">
        <v>-77.76</v>
      </c>
      <c r="AG4" s="0" t="s">
        <v>285</v>
      </c>
      <c r="AH4" s="11" t="n">
        <v>45547</v>
      </c>
      <c r="AI4" s="6" t="n">
        <v>-103.08</v>
      </c>
      <c r="AJ4" s="0" t="s">
        <v>301</v>
      </c>
      <c r="AK4" s="11" t="n">
        <v>45433</v>
      </c>
      <c r="AL4" s="6" t="n">
        <v>-82.74</v>
      </c>
      <c r="AM4" s="0" t="s">
        <v>294</v>
      </c>
      <c r="AN4" s="11" t="n">
        <v>45362</v>
      </c>
      <c r="AO4" s="6" t="n">
        <v>-18.36</v>
      </c>
      <c r="AP4" s="0" t="s">
        <v>290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45772</v>
      </c>
      <c r="AX4" s="6" t="n">
        <v>-635</v>
      </c>
      <c r="AY4" s="0" t="s">
        <v>456</v>
      </c>
      <c r="AZ4" s="0"/>
      <c r="BA4" s="10" t="s">
        <f>=XIRR(BA2:BA3,AZ2:AZ3)</f>
      </c>
      <c r="BB4" s="0"/>
      <c r="BC4" s="11" t="n">
        <v>45758</v>
      </c>
      <c r="BD4" s="6" t="n">
        <v>-144.15</v>
      </c>
      <c r="BE4" s="0" t="s">
        <v>428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</row>
    <row collapsed="false" customFormat="false" customHeight="false" hidden="false" ht="12.1" outlineLevel="0" r="5">
      <c r="A5" s="0"/>
      <c r="B5" s="8" t="s">
        <f>=-SUM(B2:B3)</f>
      </c>
      <c r="C5" s="0" t="s">
        <v>531</v>
      </c>
      <c r="D5" s="0"/>
      <c r="E5" s="10" t="s">
        <f>=XIRR(E2:E4,D2:D4)</f>
      </c>
      <c r="F5" s="0"/>
      <c r="G5" s="11" t="n">
        <v>45855</v>
      </c>
      <c r="H5" s="6" t="n">
        <v>-3249.9</v>
      </c>
      <c r="I5" s="0" t="s">
        <v>528</v>
      </c>
      <c r="J5" s="0"/>
      <c r="K5" s="8" t="s">
        <f>=-SUM(K2:K3)</f>
      </c>
      <c r="L5" s="0" t="s">
        <v>531</v>
      </c>
      <c r="M5" s="0"/>
      <c r="N5" s="10" t="s">
        <f>=XIRR(N2:N4,M2:M4)</f>
      </c>
      <c r="O5" s="0"/>
      <c r="P5" s="11" t="n">
        <v>44950</v>
      </c>
      <c r="Q5" s="6" t="n">
        <v>-425.87</v>
      </c>
      <c r="R5" s="0" t="s">
        <v>528</v>
      </c>
      <c r="S5" s="11" t="n">
        <v>45461</v>
      </c>
      <c r="T5" s="6" t="n">
        <v>-659.17</v>
      </c>
      <c r="U5" s="0" t="s">
        <v>528</v>
      </c>
      <c r="V5" s="0"/>
      <c r="W5" s="0"/>
      <c r="X5" s="0"/>
      <c r="Y5" s="0"/>
      <c r="Z5" s="10" t="s">
        <f>=XIRR(Z2:Z4,Y2:Y4)</f>
      </c>
      <c r="AA5" s="0"/>
      <c r="AB5" s="11" t="n">
        <v>45365</v>
      </c>
      <c r="AC5" s="6" t="n">
        <v>-35.08</v>
      </c>
      <c r="AD5" s="0" t="s">
        <v>287</v>
      </c>
      <c r="AE5" s="11" t="n">
        <v>45482</v>
      </c>
      <c r="AF5" s="6" t="n">
        <v>-77.76</v>
      </c>
      <c r="AG5" s="0" t="s">
        <v>285</v>
      </c>
      <c r="AH5" s="11" t="n">
        <v>45546</v>
      </c>
      <c r="AI5" s="6" t="n">
        <v>-3000</v>
      </c>
      <c r="AJ5" s="0" t="s">
        <v>363</v>
      </c>
      <c r="AK5" s="11" t="n">
        <v>45524</v>
      </c>
      <c r="AL5" s="6" t="n">
        <v>-14</v>
      </c>
      <c r="AM5" s="0" t="s">
        <v>352</v>
      </c>
      <c r="AN5" s="11" t="n">
        <v>45392</v>
      </c>
      <c r="AO5" s="6" t="n">
        <v>-18.36</v>
      </c>
      <c r="AP5" s="0" t="s">
        <v>290</v>
      </c>
      <c r="AQ5" s="0"/>
      <c r="AR5" s="8" t="s">
        <f>=-SUM(AR2:AR3)</f>
      </c>
      <c r="AS5" s="0" t="s">
        <v>531</v>
      </c>
      <c r="AT5" s="0"/>
      <c r="AU5" s="8" t="s">
        <f>=-SUM(AU2:AU3)</f>
      </c>
      <c r="AV5" s="0" t="s">
        <v>531</v>
      </c>
      <c r="AW5" s="11" t="n">
        <v>45901</v>
      </c>
      <c r="AX5" s="6" t="n">
        <v>-21600.7</v>
      </c>
      <c r="AY5" s="0" t="s">
        <v>528</v>
      </c>
      <c r="AZ5" s="0"/>
      <c r="BA5" s="8" t="s">
        <f>=-SUM(BA2:BA3)</f>
      </c>
      <c r="BB5" s="0" t="s">
        <v>531</v>
      </c>
      <c r="BC5" s="11" t="n">
        <v>45849</v>
      </c>
      <c r="BD5" s="6" t="n">
        <v>-144.15</v>
      </c>
      <c r="BE5" s="0" t="s">
        <v>428</v>
      </c>
      <c r="BF5" s="0"/>
      <c r="BG5" s="8" t="s">
        <f>=-SUM(BG2:BG3)</f>
      </c>
      <c r="BH5" s="0" t="s">
        <v>531</v>
      </c>
      <c r="BI5" s="0"/>
      <c r="BJ5" s="8" t="s">
        <f>=-SUM(BJ2:BJ3)</f>
      </c>
      <c r="BK5" s="0" t="s">
        <v>531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531</v>
      </c>
      <c r="G6" s="0"/>
      <c r="H6" s="10" t="s">
        <f>=XIRR(H2:H5,G2:G5)</f>
      </c>
      <c r="I6" s="0"/>
      <c r="J6" s="0"/>
      <c r="K6" s="0"/>
      <c r="L6" s="0"/>
      <c r="M6" s="0"/>
      <c r="N6" s="8" t="s">
        <f>=-SUM(N2:N4)</f>
      </c>
      <c r="O6" s="0" t="s">
        <v>531</v>
      </c>
      <c r="P6" s="0"/>
      <c r="Q6" s="10" t="s">
        <f>=XIRR(Q2:Q5,P2:P5)</f>
      </c>
      <c r="R6" s="0"/>
      <c r="S6" s="11" t="n">
        <v>45492</v>
      </c>
      <c r="T6" s="6" t="n">
        <v>588.8</v>
      </c>
      <c r="U6" s="0" t="s">
        <v>527</v>
      </c>
      <c r="V6" s="0"/>
      <c r="W6" s="0"/>
      <c r="X6" s="0"/>
      <c r="Y6" s="0"/>
      <c r="Z6" s="8" t="s">
        <f>=-SUM(Z2:Z4)</f>
      </c>
      <c r="AA6" s="0" t="s">
        <v>531</v>
      </c>
      <c r="AB6" s="11" t="n">
        <v>45395</v>
      </c>
      <c r="AC6" s="6" t="n">
        <v>-35.08</v>
      </c>
      <c r="AD6" s="0" t="s">
        <v>287</v>
      </c>
      <c r="AE6" s="11" t="n">
        <v>45573</v>
      </c>
      <c r="AF6" s="6" t="n">
        <v>-77.76</v>
      </c>
      <c r="AG6" s="0" t="s">
        <v>285</v>
      </c>
      <c r="AH6" s="0"/>
      <c r="AI6" s="10" t="s">
        <f>=XIRR(AI2:AI5,AH2:AH5)</f>
      </c>
      <c r="AJ6" s="0"/>
      <c r="AK6" s="11" t="n">
        <v>45615</v>
      </c>
      <c r="AL6" s="6" t="n">
        <v>-82.74</v>
      </c>
      <c r="AM6" s="0" t="s">
        <v>294</v>
      </c>
      <c r="AN6" s="11" t="n">
        <v>45422</v>
      </c>
      <c r="AO6" s="6" t="n">
        <v>-18.36</v>
      </c>
      <c r="AP6" s="0" t="s">
        <v>290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0"/>
      <c r="BA6" s="0"/>
      <c r="BB6" s="0"/>
      <c r="BC6" s="11" t="n">
        <v>45848</v>
      </c>
      <c r="BD6" s="6" t="n">
        <v>-5000</v>
      </c>
      <c r="BE6" s="0" t="s">
        <v>495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8" t="s">
        <f>=-SUM(H2:H5)</f>
      </c>
      <c r="I7" s="0" t="s">
        <v>531</v>
      </c>
      <c r="J7" s="0"/>
      <c r="K7" s="0"/>
      <c r="L7" s="0"/>
      <c r="M7" s="0"/>
      <c r="N7" s="0"/>
      <c r="O7" s="0"/>
      <c r="P7" s="0"/>
      <c r="Q7" s="8" t="s">
        <f>=-SUM(Q2:Q5)</f>
      </c>
      <c r="R7" s="0" t="s">
        <v>531</v>
      </c>
      <c r="S7" s="11" t="n">
        <v>45499</v>
      </c>
      <c r="T7" s="6" t="n">
        <v>-679.45</v>
      </c>
      <c r="U7" s="0" t="s">
        <v>528</v>
      </c>
      <c r="V7" s="0"/>
      <c r="W7" s="0"/>
      <c r="X7" s="0"/>
      <c r="Y7" s="0"/>
      <c r="Z7" s="0"/>
      <c r="AA7" s="0"/>
      <c r="AB7" s="11" t="n">
        <v>45425</v>
      </c>
      <c r="AC7" s="6" t="n">
        <v>-35.08</v>
      </c>
      <c r="AD7" s="0" t="s">
        <v>287</v>
      </c>
      <c r="AE7" s="11" t="n">
        <v>45664</v>
      </c>
      <c r="AF7" s="6" t="n">
        <v>-77.76</v>
      </c>
      <c r="AG7" s="0" t="s">
        <v>285</v>
      </c>
      <c r="AH7" s="0"/>
      <c r="AI7" s="8" t="s">
        <f>=-SUM(AI2:AI5)</f>
      </c>
      <c r="AJ7" s="0" t="s">
        <v>531</v>
      </c>
      <c r="AK7" s="11" t="n">
        <v>45706</v>
      </c>
      <c r="AL7" s="6" t="n">
        <v>-82.74</v>
      </c>
      <c r="AM7" s="0" t="s">
        <v>294</v>
      </c>
      <c r="AN7" s="11" t="n">
        <v>45452</v>
      </c>
      <c r="AO7" s="6" t="n">
        <v>-18.36</v>
      </c>
      <c r="AP7" s="0" t="s">
        <v>290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531</v>
      </c>
      <c r="AZ7" s="0"/>
      <c r="BA7" s="0"/>
      <c r="BB7" s="0"/>
      <c r="BC7" s="0"/>
      <c r="BD7" s="10" t="s">
        <f>=XIRR(BD2:BD6,BC2:BC6)</f>
      </c>
      <c r="BE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45532</v>
      </c>
      <c r="T8" s="6" t="n">
        <v>566.95</v>
      </c>
      <c r="U8" s="0" t="s">
        <v>527</v>
      </c>
      <c r="V8" s="0"/>
      <c r="W8" s="0"/>
      <c r="X8" s="0"/>
      <c r="Y8" s="0"/>
      <c r="Z8" s="0"/>
      <c r="AA8" s="0"/>
      <c r="AB8" s="11" t="n">
        <v>45455</v>
      </c>
      <c r="AC8" s="6" t="n">
        <v>-35.08</v>
      </c>
      <c r="AD8" s="0" t="s">
        <v>287</v>
      </c>
      <c r="AE8" s="11" t="n">
        <v>45663</v>
      </c>
      <c r="AF8" s="6" t="n">
        <v>-2000</v>
      </c>
      <c r="AG8" s="0" t="s">
        <v>425</v>
      </c>
      <c r="AH8" s="0"/>
      <c r="AI8" s="0"/>
      <c r="AJ8" s="0"/>
      <c r="AK8" s="11" t="n">
        <v>45797</v>
      </c>
      <c r="AL8" s="6" t="n">
        <v>-82.74</v>
      </c>
      <c r="AM8" s="0" t="s">
        <v>294</v>
      </c>
      <c r="AN8" s="11" t="n">
        <v>45482</v>
      </c>
      <c r="AO8" s="6" t="n">
        <v>-18.36</v>
      </c>
      <c r="AP8" s="0" t="s">
        <v>290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8" t="s">
        <f>=-SUM(BD2:BD6)</f>
      </c>
      <c r="BE8" s="0" t="s">
        <v>531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45551</v>
      </c>
      <c r="T9" s="6" t="n">
        <v>326.26</v>
      </c>
      <c r="U9" s="0" t="s">
        <v>527</v>
      </c>
      <c r="V9" s="0"/>
      <c r="W9" s="0"/>
      <c r="X9" s="0"/>
      <c r="Y9" s="0"/>
      <c r="Z9" s="0"/>
      <c r="AA9" s="0"/>
      <c r="AB9" s="11" t="n">
        <v>45485</v>
      </c>
      <c r="AC9" s="6" t="n">
        <v>-35.08</v>
      </c>
      <c r="AD9" s="0" t="s">
        <v>287</v>
      </c>
      <c r="AE9" s="0"/>
      <c r="AF9" s="10" t="s">
        <f>=XIRR(AF2:AF8,AE2:AE8)</f>
      </c>
      <c r="AG9" s="0"/>
      <c r="AH9" s="0"/>
      <c r="AI9" s="0"/>
      <c r="AJ9" s="0"/>
      <c r="AK9" s="11" t="n">
        <v>45796</v>
      </c>
      <c r="AL9" s="6" t="n">
        <v>-500</v>
      </c>
      <c r="AM9" s="0" t="s">
        <v>465</v>
      </c>
      <c r="AN9" s="11" t="n">
        <v>45512</v>
      </c>
      <c r="AO9" s="6" t="n">
        <v>-18.36</v>
      </c>
      <c r="AP9" s="0" t="s">
        <v>290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45561</v>
      </c>
      <c r="T10" s="6" t="n">
        <v>-646.99</v>
      </c>
      <c r="U10" s="0" t="s">
        <v>528</v>
      </c>
      <c r="V10" s="0"/>
      <c r="W10" s="0"/>
      <c r="X10" s="0"/>
      <c r="Y10" s="0"/>
      <c r="Z10" s="0"/>
      <c r="AA10" s="0"/>
      <c r="AB10" s="11" t="n">
        <v>45515</v>
      </c>
      <c r="AC10" s="6" t="n">
        <v>-35.08</v>
      </c>
      <c r="AD10" s="0" t="s">
        <v>287</v>
      </c>
      <c r="AE10" s="0"/>
      <c r="AF10" s="8" t="s">
        <f>=-SUM(AF2:AF8)</f>
      </c>
      <c r="AG10" s="0" t="s">
        <v>531</v>
      </c>
      <c r="AH10" s="0"/>
      <c r="AI10" s="0"/>
      <c r="AJ10" s="0"/>
      <c r="AK10" s="11" t="n">
        <v>45888</v>
      </c>
      <c r="AL10" s="6" t="n">
        <v>-62.06</v>
      </c>
      <c r="AM10" s="0" t="s">
        <v>514</v>
      </c>
      <c r="AN10" s="11" t="n">
        <v>45542</v>
      </c>
      <c r="AO10" s="6" t="n">
        <v>-18.36</v>
      </c>
      <c r="AP10" s="0" t="s">
        <v>290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45565</v>
      </c>
      <c r="T11" s="6" t="n">
        <v>-402.88</v>
      </c>
      <c r="U11" s="0" t="s">
        <v>528</v>
      </c>
      <c r="V11" s="0"/>
      <c r="W11" s="0"/>
      <c r="X11" s="0"/>
      <c r="Y11" s="0"/>
      <c r="Z11" s="0"/>
      <c r="AA11" s="0"/>
      <c r="AB11" s="11" t="n">
        <v>45545</v>
      </c>
      <c r="AC11" s="6" t="n">
        <v>-35.08</v>
      </c>
      <c r="AD11" s="0" t="s">
        <v>287</v>
      </c>
      <c r="AE11" s="0"/>
      <c r="AF11" s="0"/>
      <c r="AG11" s="0"/>
      <c r="AH11" s="0"/>
      <c r="AI11" s="0"/>
      <c r="AJ11" s="0"/>
      <c r="AK11" s="11" t="n">
        <v>45887</v>
      </c>
      <c r="AL11" s="6" t="n">
        <v>-500</v>
      </c>
      <c r="AM11" s="0" t="s">
        <v>465</v>
      </c>
      <c r="AN11" s="11" t="n">
        <v>45572</v>
      </c>
      <c r="AO11" s="6" t="n">
        <v>-18.36</v>
      </c>
      <c r="AP11" s="0" t="s">
        <v>290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45593</v>
      </c>
      <c r="T12" s="6" t="n">
        <v>9877.94</v>
      </c>
      <c r="U12" s="0" t="s">
        <v>527</v>
      </c>
      <c r="V12" s="0"/>
      <c r="W12" s="0"/>
      <c r="X12" s="0"/>
      <c r="Y12" s="0"/>
      <c r="Z12" s="0"/>
      <c r="AA12" s="0"/>
      <c r="AB12" s="11" t="n">
        <v>45575</v>
      </c>
      <c r="AC12" s="6" t="n">
        <v>-35.08</v>
      </c>
      <c r="AD12" s="0" t="s">
        <v>287</v>
      </c>
      <c r="AE12" s="0"/>
      <c r="AF12" s="0"/>
      <c r="AG12" s="0"/>
      <c r="AH12" s="0"/>
      <c r="AI12" s="0"/>
      <c r="AJ12" s="0"/>
      <c r="AK12" s="11" t="n">
        <v>45901</v>
      </c>
      <c r="AL12" s="6" t="n">
        <v>-244.46</v>
      </c>
      <c r="AM12" s="0" t="s">
        <v>528</v>
      </c>
      <c r="AN12" s="11" t="n">
        <v>45602</v>
      </c>
      <c r="AO12" s="6" t="n">
        <v>-18.36</v>
      </c>
      <c r="AP12" s="0" t="s">
        <v>290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45602</v>
      </c>
      <c r="T13" s="6" t="n">
        <v>-11762.58</v>
      </c>
      <c r="U13" s="0" t="s">
        <v>528</v>
      </c>
      <c r="V13" s="0"/>
      <c r="W13" s="0"/>
      <c r="X13" s="0"/>
      <c r="Y13" s="0"/>
      <c r="Z13" s="0"/>
      <c r="AA13" s="0"/>
      <c r="AB13" s="11" t="n">
        <v>45605</v>
      </c>
      <c r="AC13" s="6" t="n">
        <v>-35.08</v>
      </c>
      <c r="AD13" s="0" t="s">
        <v>287</v>
      </c>
      <c r="AE13" s="0"/>
      <c r="AF13" s="0"/>
      <c r="AG13" s="0"/>
      <c r="AH13" s="0"/>
      <c r="AI13" s="0"/>
      <c r="AJ13" s="0"/>
      <c r="AK13" s="0"/>
      <c r="AL13" s="10" t="s">
        <f>=XIRR(AL2:AL12,AK2:AK12)</f>
      </c>
      <c r="AM13" s="0"/>
      <c r="AN13" s="11" t="n">
        <v>45632</v>
      </c>
      <c r="AO13" s="6" t="n">
        <v>-18.36</v>
      </c>
      <c r="AP13" s="0" t="s">
        <v>290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11" t="n">
        <v>45635</v>
      </c>
      <c r="AC14" s="6" t="n">
        <v>-35.08</v>
      </c>
      <c r="AD14" s="0" t="s">
        <v>287</v>
      </c>
      <c r="AE14" s="0"/>
      <c r="AF14" s="0"/>
      <c r="AG14" s="0"/>
      <c r="AH14" s="0"/>
      <c r="AI14" s="0"/>
      <c r="AJ14" s="0"/>
      <c r="AK14" s="0"/>
      <c r="AL14" s="8" t="s">
        <f>=-SUM(AL2:AL12)</f>
      </c>
      <c r="AM14" s="0" t="s">
        <v>531</v>
      </c>
      <c r="AN14" s="11" t="n">
        <v>45662</v>
      </c>
      <c r="AO14" s="6" t="n">
        <v>-18.36</v>
      </c>
      <c r="AP14" s="0" t="s">
        <v>290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8" t="s">
        <f>=-SUM(T2:T13)</f>
      </c>
      <c r="U15" s="0" t="s">
        <v>531</v>
      </c>
      <c r="V15" s="0"/>
      <c r="W15" s="0"/>
      <c r="X15" s="0"/>
      <c r="Y15" s="0"/>
      <c r="Z15" s="0"/>
      <c r="AA15" s="0"/>
      <c r="AB15" s="11" t="n">
        <v>45634</v>
      </c>
      <c r="AC15" s="6" t="n">
        <v>-3000</v>
      </c>
      <c r="AD15" s="0" t="s">
        <v>409</v>
      </c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45692</v>
      </c>
      <c r="AO15" s="6" t="n">
        <v>-18.36</v>
      </c>
      <c r="AP15" s="0" t="s">
        <v>290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10" t="s">
        <f>=XIRR(AC2:AC15,AB2:AB15)</f>
      </c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45722</v>
      </c>
      <c r="AO16" s="6" t="n">
        <v>-18.36</v>
      </c>
      <c r="AP16" s="0" t="s">
        <v>290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8" t="s">
        <f>=-SUM(AC2:AC15)</f>
      </c>
      <c r="AD17" s="0" t="s">
        <v>531</v>
      </c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45752</v>
      </c>
      <c r="AO17" s="6" t="n">
        <v>-18.36</v>
      </c>
      <c r="AP17" s="0" t="s">
        <v>290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45782</v>
      </c>
      <c r="AO18" s="6" t="n">
        <v>-18.36</v>
      </c>
      <c r="AP18" s="0" t="s">
        <v>290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45781</v>
      </c>
      <c r="AO19" s="6" t="n">
        <v>-2000</v>
      </c>
      <c r="AP19" s="0" t="s">
        <v>462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10" t="s">
        <f>=XIRR(AO2:AO19,AN2:AN19)</f>
      </c>
      <c r="AP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8" t="s">
        <f>=-SUM(AO2:AO19)</f>
      </c>
      <c r="AP21" s="0" t="s">
        <v>531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553</v>
      </c>
      <c r="C1" s="0"/>
      <c r="D1" s="0"/>
      <c r="E1" s="3" t="s">
        <v>554</v>
      </c>
      <c r="F1" s="0"/>
      <c r="G1" s="0"/>
      <c r="H1" s="3" t="s">
        <v>555</v>
      </c>
      <c r="I1" s="0"/>
      <c r="J1" s="0"/>
      <c r="K1" s="3" t="s">
        <v>556</v>
      </c>
      <c r="L1" s="0"/>
      <c r="M1" s="0"/>
      <c r="N1" s="3" t="s">
        <v>557</v>
      </c>
      <c r="O1" s="0"/>
      <c r="P1" s="0"/>
      <c r="Q1" s="3" t="s">
        <v>558</v>
      </c>
      <c r="R1" s="0"/>
      <c r="S1" s="0"/>
      <c r="T1" s="3" t="s">
        <v>559</v>
      </c>
      <c r="U1" s="0"/>
      <c r="V1" s="0"/>
      <c r="W1" s="3" t="s">
        <v>560</v>
      </c>
      <c r="X1" s="0"/>
      <c r="Y1" s="0"/>
      <c r="Z1" s="3" t="s">
        <v>561</v>
      </c>
      <c r="AA1" s="0"/>
      <c r="AB1" s="0"/>
      <c r="AC1" s="3" t="s">
        <v>562</v>
      </c>
      <c r="AD1" s="0"/>
      <c r="AE1" s="0"/>
      <c r="AF1" s="3" t="s">
        <v>563</v>
      </c>
      <c r="AG1" s="0"/>
      <c r="AH1" s="0"/>
      <c r="AI1" s="3" t="s">
        <v>564</v>
      </c>
      <c r="AJ1" s="0"/>
      <c r="AK1" s="0"/>
      <c r="AL1" s="3" t="s">
        <v>565</v>
      </c>
      <c r="AM1" s="0"/>
      <c r="AN1" s="0"/>
      <c r="AO1" s="3" t="s">
        <v>566</v>
      </c>
      <c r="AP1" s="0"/>
      <c r="AQ1" s="0"/>
      <c r="AR1" s="3" t="s">
        <v>567</v>
      </c>
      <c r="AS1" s="0"/>
      <c r="AT1" s="0"/>
      <c r="AU1" s="3" t="s">
        <v>568</v>
      </c>
      <c r="AV1" s="0"/>
      <c r="AW1" s="0"/>
      <c r="AX1" s="3" t="s">
        <v>569</v>
      </c>
      <c r="AY1" s="0"/>
      <c r="AZ1" s="0"/>
      <c r="BA1" s="3" t="s">
        <v>570</v>
      </c>
      <c r="BB1" s="0"/>
      <c r="BC1" s="0"/>
      <c r="BD1" s="3" t="s">
        <v>571</v>
      </c>
      <c r="BE1" s="0"/>
      <c r="BF1" s="0"/>
      <c r="BG1" s="3" t="s">
        <v>572</v>
      </c>
      <c r="BH1" s="0"/>
      <c r="BI1" s="0"/>
      <c r="BJ1" s="3" t="s">
        <v>573</v>
      </c>
      <c r="BK1" s="0"/>
      <c r="BL1" s="0"/>
      <c r="BM1" s="3" t="s">
        <v>574</v>
      </c>
      <c r="BN1" s="0"/>
      <c r="BO1" s="0"/>
      <c r="BP1" s="3" t="s">
        <v>575</v>
      </c>
      <c r="BQ1" s="0"/>
      <c r="BR1" s="0"/>
      <c r="BS1" s="3" t="s">
        <v>576</v>
      </c>
      <c r="BT1" s="0"/>
      <c r="BU1" s="0"/>
      <c r="BV1" s="3" t="s">
        <v>577</v>
      </c>
      <c r="BW1" s="0"/>
      <c r="BX1" s="0"/>
      <c r="BY1" s="3" t="s">
        <v>578</v>
      </c>
      <c r="BZ1" s="0"/>
      <c r="CA1" s="0"/>
      <c r="CB1" s="3" t="s">
        <v>579</v>
      </c>
      <c r="CC1" s="0"/>
      <c r="CD1" s="0"/>
      <c r="CE1" s="3" t="s">
        <v>580</v>
      </c>
      <c r="CF1" s="0"/>
      <c r="CG1" s="0"/>
      <c r="CH1" s="3" t="s">
        <v>581</v>
      </c>
      <c r="CI1" s="0"/>
      <c r="CJ1" s="0"/>
      <c r="CK1" s="3" t="s">
        <v>582</v>
      </c>
      <c r="CL1" s="0"/>
      <c r="CM1" s="0"/>
      <c r="CN1" s="3" t="s">
        <v>583</v>
      </c>
      <c r="CO1" s="0"/>
      <c r="CP1" s="0"/>
      <c r="CQ1" s="3" t="s">
        <v>584</v>
      </c>
      <c r="CR1" s="0"/>
      <c r="CS1" s="0"/>
      <c r="CT1" s="3" t="s">
        <v>585</v>
      </c>
      <c r="CU1" s="0"/>
      <c r="CV1" s="0"/>
      <c r="CW1" s="3" t="s">
        <v>586</v>
      </c>
      <c r="CX1" s="0"/>
      <c r="CY1" s="0"/>
      <c r="CZ1" s="3" t="s">
        <v>587</v>
      </c>
      <c r="DA1" s="0"/>
      <c r="DB1" s="0"/>
      <c r="DC1" s="3" t="s">
        <v>588</v>
      </c>
      <c r="DD1" s="0"/>
      <c r="DE1" s="0"/>
      <c r="DF1" s="3" t="s">
        <v>589</v>
      </c>
      <c r="DG1" s="0"/>
      <c r="DH1" s="0"/>
      <c r="DI1" s="3" t="s">
        <v>590</v>
      </c>
      <c r="DJ1" s="0"/>
      <c r="DK1" s="0"/>
      <c r="DL1" s="3" t="s">
        <v>591</v>
      </c>
      <c r="DM1" s="0"/>
      <c r="DN1" s="0"/>
      <c r="DO1" s="3" t="s">
        <v>592</v>
      </c>
      <c r="DP1" s="0"/>
      <c r="DQ1" s="0"/>
      <c r="DR1" s="3" t="s">
        <v>593</v>
      </c>
      <c r="DS1" s="0"/>
      <c r="DT1" s="0"/>
      <c r="DU1" s="3" t="s">
        <v>594</v>
      </c>
      <c r="DV1" s="0"/>
      <c r="DW1" s="0"/>
      <c r="DX1" s="3" t="s">
        <v>595</v>
      </c>
      <c r="DY1" s="0"/>
      <c r="DZ1" s="0"/>
      <c r="EA1" s="3" t="s">
        <v>596</v>
      </c>
      <c r="EB1" s="0"/>
      <c r="EC1" s="0"/>
      <c r="ED1" s="3" t="s">
        <v>597</v>
      </c>
      <c r="EE1" s="0"/>
      <c r="EF1" s="0"/>
      <c r="EG1" s="3" t="s">
        <v>598</v>
      </c>
      <c r="EH1" s="0"/>
      <c r="EI1" s="0"/>
      <c r="EJ1" s="3" t="s">
        <v>599</v>
      </c>
      <c r="EK1" s="0"/>
      <c r="EL1" s="0"/>
      <c r="EM1" s="3" t="s">
        <v>600</v>
      </c>
      <c r="EN1" s="0"/>
      <c r="EO1" s="0"/>
      <c r="EP1" s="3" t="s">
        <v>601</v>
      </c>
      <c r="EQ1" s="0"/>
      <c r="ER1" s="0"/>
      <c r="ES1" s="3" t="s">
        <v>602</v>
      </c>
      <c r="ET1" s="0"/>
      <c r="EU1" s="0"/>
      <c r="EV1" s="3" t="s">
        <v>603</v>
      </c>
      <c r="EW1" s="0"/>
      <c r="EX1" s="0"/>
      <c r="EY1" s="3" t="s">
        <v>604</v>
      </c>
      <c r="EZ1" s="0"/>
      <c r="FA1" s="0"/>
      <c r="FB1" s="3" t="s">
        <v>605</v>
      </c>
      <c r="FC1" s="0"/>
      <c r="FD1" s="0"/>
      <c r="FE1" s="3" t="s">
        <v>606</v>
      </c>
      <c r="FF1" s="0"/>
      <c r="FG1" s="0"/>
      <c r="FH1" s="3" t="s">
        <v>607</v>
      </c>
      <c r="FI1" s="0"/>
      <c r="FJ1" s="0"/>
      <c r="FK1" s="3" t="s">
        <v>608</v>
      </c>
      <c r="FL1" s="0"/>
      <c r="FM1" s="0"/>
      <c r="FN1" s="3" t="s">
        <v>609</v>
      </c>
      <c r="FO1" s="0"/>
      <c r="FP1" s="0"/>
      <c r="FQ1" s="3" t="s">
        <v>610</v>
      </c>
      <c r="FR1" s="0"/>
      <c r="FS1" s="0"/>
      <c r="FT1" s="3" t="s">
        <v>611</v>
      </c>
      <c r="FU1" s="0"/>
      <c r="FV1" s="0"/>
      <c r="FW1" s="3" t="s">
        <v>612</v>
      </c>
      <c r="FX1" s="0"/>
      <c r="FY1" s="0"/>
      <c r="FZ1" s="3" t="s">
        <v>613</v>
      </c>
      <c r="GA1" s="0"/>
      <c r="GB1" s="0"/>
      <c r="GC1" s="3" t="s">
        <v>614</v>
      </c>
      <c r="GD1" s="0"/>
      <c r="GE1" s="0"/>
      <c r="GF1" s="3" t="s">
        <v>615</v>
      </c>
      <c r="GG1" s="0"/>
      <c r="GH1" s="0"/>
      <c r="GI1" s="3" t="s">
        <v>616</v>
      </c>
      <c r="GJ1" s="0"/>
      <c r="GK1" s="0"/>
      <c r="GL1" s="3" t="s">
        <v>617</v>
      </c>
      <c r="GM1" s="0"/>
      <c r="GN1" s="0"/>
      <c r="GO1" s="3" t="s">
        <v>618</v>
      </c>
      <c r="GP1" s="0"/>
      <c r="GQ1" s="0"/>
      <c r="GR1" s="3" t="s">
        <v>619</v>
      </c>
      <c r="GS1" s="0"/>
      <c r="GT1" s="0"/>
      <c r="GU1" s="3" t="s">
        <v>620</v>
      </c>
      <c r="GV1" s="0"/>
      <c r="GW1" s="0"/>
      <c r="GX1" s="3" t="s">
        <v>621</v>
      </c>
      <c r="GY1" s="0"/>
      <c r="GZ1" s="0"/>
      <c r="HA1" s="3" t="s">
        <v>622</v>
      </c>
      <c r="HB1" s="0"/>
      <c r="HC1" s="0"/>
      <c r="HD1" s="3" t="s">
        <v>623</v>
      </c>
      <c r="HE1" s="0"/>
      <c r="HF1" s="0"/>
      <c r="HG1" s="3" t="s">
        <v>624</v>
      </c>
      <c r="HH1" s="0"/>
      <c r="HI1" s="0"/>
      <c r="HJ1" s="3" t="s">
        <v>625</v>
      </c>
      <c r="HK1" s="0"/>
      <c r="HL1" s="0"/>
      <c r="HM1" s="3" t="s">
        <v>626</v>
      </c>
      <c r="HN1" s="0"/>
      <c r="HO1" s="0"/>
      <c r="HP1" s="3" t="s">
        <v>627</v>
      </c>
      <c r="HQ1" s="0"/>
      <c r="HR1" s="0"/>
      <c r="HS1" s="3" t="s">
        <v>628</v>
      </c>
      <c r="HT1" s="0"/>
      <c r="HU1" s="0"/>
      <c r="HV1" s="3" t="s">
        <v>629</v>
      </c>
      <c r="HW1" s="0"/>
      <c r="HX1" s="0"/>
      <c r="HY1" s="3" t="s">
        <v>630</v>
      </c>
      <c r="HZ1" s="0"/>
      <c r="IA1" s="0"/>
      <c r="IB1" s="3" t="s">
        <v>631</v>
      </c>
      <c r="IC1" s="0"/>
      <c r="ID1" s="0"/>
      <c r="IE1" s="3" t="s">
        <v>632</v>
      </c>
      <c r="IF1" s="0"/>
      <c r="IG1" s="0"/>
      <c r="IH1" s="3" t="s">
        <v>633</v>
      </c>
      <c r="II1" s="0"/>
      <c r="IJ1" s="0"/>
      <c r="IK1" s="3" t="s">
        <v>634</v>
      </c>
      <c r="IL1" s="0"/>
      <c r="IM1" s="0"/>
      <c r="IN1" s="3" t="s">
        <v>635</v>
      </c>
      <c r="IO1" s="0"/>
      <c r="IP1" s="0"/>
      <c r="IQ1" s="3" t="s">
        <v>636</v>
      </c>
      <c r="IR1" s="0"/>
      <c r="IS1" s="0"/>
      <c r="IT1" s="3" t="s">
        <v>637</v>
      </c>
      <c r="IU1" s="0"/>
    </row>
    <row collapsed="false" customFormat="false" customHeight="false" hidden="false" ht="12.1" outlineLevel="0" r="2">
      <c r="A2" s="11" t="n">
        <v>44644</v>
      </c>
      <c r="B2" s="6" t="n">
        <v>1</v>
      </c>
      <c r="C2" s="6" t="n">
        <v>311.74</v>
      </c>
      <c r="D2" s="11" t="n">
        <v>45621</v>
      </c>
      <c r="E2" s="6" t="n">
        <v>20</v>
      </c>
      <c r="F2" s="6" t="n">
        <v>4607.68</v>
      </c>
      <c r="G2" s="11" t="n">
        <v>45527</v>
      </c>
      <c r="H2" s="6" t="n">
        <v>400</v>
      </c>
      <c r="I2" s="6" t="n">
        <v>3241.62</v>
      </c>
      <c r="J2" s="11" t="n">
        <v>45495</v>
      </c>
      <c r="K2" s="6" t="n">
        <v>200</v>
      </c>
      <c r="L2" s="6" t="n">
        <v>3116.5</v>
      </c>
      <c r="M2" s="11" t="n">
        <v>45474</v>
      </c>
      <c r="N2" s="6" t="n">
        <v>1</v>
      </c>
      <c r="O2" s="6" t="n">
        <v>6424.64</v>
      </c>
      <c r="P2" s="11" t="n">
        <v>44673</v>
      </c>
      <c r="Q2" s="6" t="n">
        <v>1</v>
      </c>
      <c r="R2" s="6" t="n">
        <v>3802.28</v>
      </c>
      <c r="S2" s="11" t="n">
        <v>45607</v>
      </c>
      <c r="T2" s="6" t="n">
        <v>50</v>
      </c>
      <c r="U2" s="6" t="n">
        <v>5626.5</v>
      </c>
      <c r="V2" s="11" t="n">
        <v>45530</v>
      </c>
      <c r="W2" s="6" t="n">
        <v>2</v>
      </c>
      <c r="X2" s="6" t="n">
        <v>1316.96</v>
      </c>
      <c r="Y2" s="11" t="n">
        <v>45348</v>
      </c>
      <c r="Z2" s="6" t="n">
        <v>5</v>
      </c>
      <c r="AA2" s="6" t="n">
        <v>6705.36</v>
      </c>
      <c r="AB2" s="11" t="n">
        <v>45323</v>
      </c>
      <c r="AC2" s="6" t="n">
        <v>2</v>
      </c>
      <c r="AD2" s="6" t="n">
        <v>1718.98</v>
      </c>
      <c r="AE2" s="11" t="n">
        <v>45418</v>
      </c>
      <c r="AF2" s="6" t="n">
        <v>100</v>
      </c>
      <c r="AG2" s="6" t="n">
        <v>3568.85</v>
      </c>
      <c r="AH2" s="11" t="n">
        <v>44700</v>
      </c>
      <c r="AI2" s="6" t="n">
        <v>100</v>
      </c>
      <c r="AJ2" s="6" t="n">
        <v>3642.18</v>
      </c>
      <c r="AK2" s="11" t="n">
        <v>45446</v>
      </c>
      <c r="AL2" s="6" t="n">
        <v>3000</v>
      </c>
      <c r="AM2" s="6" t="n">
        <v>2629.6</v>
      </c>
      <c r="AN2" s="11" t="n">
        <v>45287</v>
      </c>
      <c r="AO2" s="6" t="n">
        <v>2</v>
      </c>
      <c r="AP2" s="6" t="n">
        <v>1361.08</v>
      </c>
      <c r="AQ2" s="11" t="n">
        <v>44670</v>
      </c>
      <c r="AR2" s="6" t="n">
        <v>100</v>
      </c>
      <c r="AS2" s="6" t="n">
        <v>1182.11</v>
      </c>
      <c r="AT2" s="11" t="n">
        <v>45483</v>
      </c>
      <c r="AU2" s="6" t="n">
        <v>50</v>
      </c>
      <c r="AV2" s="6" t="n">
        <v>3021.91</v>
      </c>
      <c r="AW2" s="11" t="n">
        <v>45442</v>
      </c>
      <c r="AX2" s="6" t="n">
        <v>22000</v>
      </c>
      <c r="AY2" s="6" t="n">
        <v>4922.15</v>
      </c>
      <c r="AZ2" s="11" t="n">
        <v>45490</v>
      </c>
      <c r="BA2" s="6" t="n">
        <v>2</v>
      </c>
      <c r="BB2" s="6" t="n">
        <v>2877.31</v>
      </c>
      <c r="BC2" s="11" t="n">
        <v>45474</v>
      </c>
      <c r="BD2" s="6" t="n">
        <v>10</v>
      </c>
      <c r="BE2" s="6" t="n">
        <v>1777.83</v>
      </c>
      <c r="BF2" s="11" t="n">
        <v>45036</v>
      </c>
      <c r="BG2" s="6" t="n">
        <v>2</v>
      </c>
      <c r="BH2" s="6" t="n">
        <v>1210.61</v>
      </c>
      <c r="BI2" s="11" t="n">
        <v>44659</v>
      </c>
      <c r="BJ2" s="6" t="n">
        <v>10</v>
      </c>
      <c r="BK2" s="6" t="n">
        <v>853.42</v>
      </c>
      <c r="BL2" s="11" t="n">
        <v>44644</v>
      </c>
      <c r="BM2" s="6" t="n">
        <v>10</v>
      </c>
      <c r="BN2" s="6" t="n">
        <v>927.55</v>
      </c>
      <c r="BO2" s="11" t="n">
        <v>45454</v>
      </c>
      <c r="BP2" s="6" t="n">
        <v>5</v>
      </c>
      <c r="BQ2" s="6" t="n">
        <v>1495.45</v>
      </c>
      <c r="BR2" s="11" t="n">
        <v>44761</v>
      </c>
      <c r="BS2" s="6" t="n">
        <v>1000</v>
      </c>
      <c r="BT2" s="6" t="n">
        <v>1428.85</v>
      </c>
      <c r="BU2" s="11" t="n">
        <v>45272</v>
      </c>
      <c r="BV2" s="6" t="n">
        <v>20</v>
      </c>
      <c r="BW2" s="6" t="n">
        <v>1403.52</v>
      </c>
      <c r="BX2" s="11" t="n">
        <v>44673</v>
      </c>
      <c r="BY2" s="6" t="n">
        <v>10</v>
      </c>
      <c r="BZ2" s="6" t="n">
        <v>2072.85</v>
      </c>
      <c r="CA2" s="11" t="n">
        <v>45530</v>
      </c>
      <c r="CB2" s="6" t="n">
        <v>1</v>
      </c>
      <c r="CC2" s="6" t="n">
        <v>2699.76</v>
      </c>
      <c r="CD2" s="11" t="n">
        <v>44649</v>
      </c>
      <c r="CE2" s="6" t="n">
        <v>100</v>
      </c>
      <c r="CF2" s="6" t="n">
        <v>193.12</v>
      </c>
      <c r="CG2" s="11" t="n">
        <v>45401</v>
      </c>
      <c r="CH2" s="6" t="n">
        <v>3</v>
      </c>
      <c r="CI2" s="6" t="n">
        <v>1665.83</v>
      </c>
      <c r="CJ2" s="11" t="n">
        <v>45491</v>
      </c>
      <c r="CK2" s="6" t="n">
        <v>2</v>
      </c>
      <c r="CL2" s="6" t="n">
        <v>1718.88</v>
      </c>
      <c r="CM2" s="11" t="n">
        <v>45532</v>
      </c>
      <c r="CN2" s="6" t="n">
        <v>10</v>
      </c>
      <c r="CO2" s="6" t="n">
        <v>1137.11</v>
      </c>
      <c r="CP2" s="11" t="n">
        <v>45530</v>
      </c>
      <c r="CQ2" s="6" t="n">
        <v>1</v>
      </c>
      <c r="CR2" s="6" t="n">
        <v>1243.79</v>
      </c>
      <c r="CS2" s="11" t="n">
        <v>44715</v>
      </c>
      <c r="CT2" s="6" t="n">
        <v>1</v>
      </c>
      <c r="CU2" s="6" t="n">
        <v>814.29</v>
      </c>
      <c r="CV2" s="11" t="n">
        <v>44938</v>
      </c>
      <c r="CW2" s="6" t="n">
        <v>13402</v>
      </c>
      <c r="CX2" s="6" t="n">
        <v>1170.79872</v>
      </c>
      <c r="CY2" s="11" t="n">
        <v>44734</v>
      </c>
      <c r="CZ2" s="6" t="n">
        <v>10</v>
      </c>
      <c r="DA2" s="6" t="n">
        <v>440.07</v>
      </c>
      <c r="DB2" s="11" t="n">
        <v>44873</v>
      </c>
      <c r="DC2" s="6" t="n">
        <v>1</v>
      </c>
      <c r="DD2" s="6" t="n">
        <v>498.25</v>
      </c>
      <c r="DE2" s="11" t="n">
        <v>44740</v>
      </c>
      <c r="DF2" s="6" t="n">
        <v>1</v>
      </c>
      <c r="DG2" s="6" t="n">
        <v>795.08</v>
      </c>
      <c r="DH2" s="11" t="n">
        <v>44645</v>
      </c>
      <c r="DI2" s="6" t="n">
        <v>10</v>
      </c>
      <c r="DJ2" s="6" t="n">
        <v>667.15</v>
      </c>
      <c r="DK2" s="11" t="n">
        <v>44670</v>
      </c>
      <c r="DL2" s="6" t="n">
        <v>10</v>
      </c>
      <c r="DM2" s="6" t="n">
        <v>767.05</v>
      </c>
      <c r="DN2" s="11" t="n">
        <v>45526</v>
      </c>
      <c r="DO2" s="6" t="n">
        <v>3</v>
      </c>
      <c r="DP2" s="6" t="n">
        <v>662.6</v>
      </c>
      <c r="DQ2" s="11" t="n">
        <v>44746</v>
      </c>
      <c r="DR2" s="6" t="n">
        <v>10</v>
      </c>
      <c r="DS2" s="6" t="n">
        <v>320.19</v>
      </c>
      <c r="DT2" s="11" t="n">
        <v>44648</v>
      </c>
      <c r="DU2" s="6" t="n">
        <v>1</v>
      </c>
      <c r="DV2" s="6" t="n">
        <v>75.6</v>
      </c>
      <c r="DW2" s="11" t="n">
        <v>44803</v>
      </c>
      <c r="DX2" s="6" t="n">
        <v>2</v>
      </c>
      <c r="DY2" s="6" t="n">
        <v>444.27</v>
      </c>
      <c r="DZ2" s="11" t="n">
        <v>44806</v>
      </c>
      <c r="EA2" s="6" t="n">
        <v>100</v>
      </c>
      <c r="EB2" s="6" t="n">
        <v>720.53</v>
      </c>
      <c r="EC2" s="11" t="n">
        <v>45324</v>
      </c>
      <c r="ED2" s="6" t="n">
        <v>600</v>
      </c>
      <c r="EE2" s="6" t="n">
        <v>80815.714285714</v>
      </c>
      <c r="EF2" s="11" t="n">
        <v>45321</v>
      </c>
      <c r="EG2" s="6" t="n">
        <v>100</v>
      </c>
      <c r="EH2" s="6" t="n">
        <v>13964.19</v>
      </c>
      <c r="EI2" s="11" t="n">
        <v>44894</v>
      </c>
      <c r="EJ2" s="6" t="n">
        <v>1100</v>
      </c>
      <c r="EK2" s="6" t="n">
        <v>970.60071428571</v>
      </c>
      <c r="EL2" s="11" t="n">
        <v>45463</v>
      </c>
      <c r="EM2" s="6" t="n">
        <v>31</v>
      </c>
      <c r="EN2" s="6" t="n">
        <v>4232.77</v>
      </c>
      <c r="EO2" s="11" t="n">
        <v>45597</v>
      </c>
      <c r="EP2" s="6" t="n">
        <v>1537</v>
      </c>
      <c r="EQ2" s="6" t="n">
        <v>2323.0218</v>
      </c>
      <c r="ER2" s="11" t="n">
        <v>45369</v>
      </c>
      <c r="ES2" s="6" t="n">
        <v>10</v>
      </c>
      <c r="ET2" s="6" t="n">
        <v>6285.66</v>
      </c>
      <c r="EU2" s="11" t="n">
        <v>45369</v>
      </c>
      <c r="EV2" s="6" t="n">
        <v>10</v>
      </c>
      <c r="EW2" s="6" t="n">
        <v>6515.97</v>
      </c>
      <c r="EX2" s="11" t="n">
        <v>45509</v>
      </c>
      <c r="EY2" s="6" t="n">
        <v>47</v>
      </c>
      <c r="EZ2" s="6" t="n">
        <v>33041.43</v>
      </c>
      <c r="FA2" s="11" t="n">
        <v>45369</v>
      </c>
      <c r="FB2" s="6" t="n">
        <v>10</v>
      </c>
      <c r="FC2" s="6" t="n">
        <v>9535.31</v>
      </c>
      <c r="FD2" s="11" t="n">
        <v>45379</v>
      </c>
      <c r="FE2" s="6" t="n">
        <v>10</v>
      </c>
      <c r="FF2" s="6" t="n">
        <v>7727.6</v>
      </c>
      <c r="FG2" s="11" t="n">
        <v>45551</v>
      </c>
      <c r="FH2" s="6" t="n">
        <v>20</v>
      </c>
      <c r="FI2" s="6" t="n">
        <v>17071.5</v>
      </c>
      <c r="FJ2" s="11" t="n">
        <v>45280</v>
      </c>
      <c r="FK2" s="6" t="n">
        <v>3</v>
      </c>
      <c r="FL2" s="6" t="n">
        <v>2951.07</v>
      </c>
      <c r="FM2" s="11" t="n">
        <v>45307</v>
      </c>
      <c r="FN2" s="6" t="n">
        <v>5</v>
      </c>
      <c r="FO2" s="6" t="n">
        <v>4174.34</v>
      </c>
      <c r="FP2" s="11" t="n">
        <v>45551</v>
      </c>
      <c r="FQ2" s="6" t="n">
        <v>20</v>
      </c>
      <c r="FR2" s="6" t="n">
        <v>14846.15</v>
      </c>
      <c r="FS2" s="11" t="n">
        <v>45551</v>
      </c>
      <c r="FT2" s="6" t="n">
        <v>20</v>
      </c>
      <c r="FU2" s="6" t="n">
        <v>17048.48</v>
      </c>
      <c r="FV2" s="11" t="n">
        <v>45551</v>
      </c>
      <c r="FW2" s="6" t="n">
        <v>20</v>
      </c>
      <c r="FX2" s="6" t="n">
        <v>16988.44</v>
      </c>
      <c r="FY2" s="11" t="n">
        <v>45365</v>
      </c>
      <c r="FZ2" s="6" t="n">
        <v>10</v>
      </c>
      <c r="GA2" s="6" t="n">
        <v>9631.88</v>
      </c>
      <c r="GB2" s="11" t="n">
        <v>45391</v>
      </c>
      <c r="GC2" s="6" t="n">
        <v>7</v>
      </c>
      <c r="GD2" s="6" t="n">
        <v>5379.14</v>
      </c>
      <c r="GE2" s="11" t="n">
        <v>45327</v>
      </c>
      <c r="GF2" s="6" t="n">
        <v>10</v>
      </c>
      <c r="GG2" s="6" t="n">
        <v>9441.04</v>
      </c>
      <c r="GH2" s="11" t="n">
        <v>45327</v>
      </c>
      <c r="GI2" s="6" t="n">
        <v>10</v>
      </c>
      <c r="GJ2" s="6" t="n">
        <v>9286.53</v>
      </c>
      <c r="GK2" s="11" t="n">
        <v>45391</v>
      </c>
      <c r="GL2" s="6" t="n">
        <v>7</v>
      </c>
      <c r="GM2" s="6" t="n">
        <v>5245.04</v>
      </c>
      <c r="GN2" s="11" t="n">
        <v>45509</v>
      </c>
      <c r="GO2" s="6" t="n">
        <v>10</v>
      </c>
      <c r="GP2" s="6" t="n">
        <v>7356.81</v>
      </c>
      <c r="GQ2" s="11" t="n">
        <v>45273</v>
      </c>
      <c r="GR2" s="6" t="n">
        <v>1</v>
      </c>
      <c r="GS2" s="6" t="n">
        <v>957.93</v>
      </c>
      <c r="GT2" s="11" t="n">
        <v>45604</v>
      </c>
      <c r="GU2" s="6" t="n">
        <v>5</v>
      </c>
      <c r="GV2" s="6" t="n">
        <v>4631.77</v>
      </c>
      <c r="GW2" s="11" t="n">
        <v>45308</v>
      </c>
      <c r="GX2" s="6" t="n">
        <v>5</v>
      </c>
      <c r="GY2" s="6" t="n">
        <v>5094.78</v>
      </c>
      <c r="GZ2" s="11" t="n">
        <v>45307</v>
      </c>
      <c r="HA2" s="6" t="n">
        <v>5</v>
      </c>
      <c r="HB2" s="6" t="n">
        <v>4654.22</v>
      </c>
      <c r="HC2" s="11" t="n">
        <v>45495</v>
      </c>
      <c r="HD2" s="6" t="n">
        <v>5</v>
      </c>
      <c r="HE2" s="6" t="n">
        <v>4205.91</v>
      </c>
      <c r="HF2" s="11" t="n">
        <v>45307</v>
      </c>
      <c r="HG2" s="6" t="n">
        <v>2</v>
      </c>
      <c r="HH2" s="6" t="n">
        <v>2002.26</v>
      </c>
      <c r="HI2" s="11" t="n">
        <v>45321</v>
      </c>
      <c r="HJ2" s="6" t="n">
        <v>3</v>
      </c>
      <c r="HK2" s="6" t="n">
        <v>2710.37</v>
      </c>
      <c r="HL2" s="11" t="n">
        <v>45287</v>
      </c>
      <c r="HM2" s="6" t="n">
        <v>2</v>
      </c>
      <c r="HN2" s="6" t="n">
        <v>1997.06</v>
      </c>
      <c r="HO2" s="11" t="n">
        <v>45307</v>
      </c>
      <c r="HP2" s="6" t="n">
        <v>2</v>
      </c>
      <c r="HQ2" s="6" t="n">
        <v>1910.39</v>
      </c>
      <c r="HR2" s="11" t="n">
        <v>45273</v>
      </c>
      <c r="HS2" s="6" t="n">
        <v>5</v>
      </c>
      <c r="HT2" s="6" t="n">
        <v>4872.85</v>
      </c>
      <c r="HU2" s="11" t="n">
        <v>45321</v>
      </c>
      <c r="HV2" s="6" t="n">
        <v>3</v>
      </c>
      <c r="HW2" s="6" t="n">
        <v>2803.7</v>
      </c>
      <c r="HX2" s="11" t="n">
        <v>45324</v>
      </c>
      <c r="HY2" s="6" t="n">
        <v>7</v>
      </c>
      <c r="HZ2" s="6" t="n">
        <v>6246.58</v>
      </c>
      <c r="IA2" s="11" t="n">
        <v>45287</v>
      </c>
      <c r="IB2" s="6" t="n">
        <v>2</v>
      </c>
      <c r="IC2" s="6" t="n">
        <v>1968.35</v>
      </c>
      <c r="ID2" s="11" t="n">
        <v>45307</v>
      </c>
      <c r="IE2" s="6" t="n">
        <v>2</v>
      </c>
      <c r="IF2" s="6" t="n">
        <v>2094.42</v>
      </c>
      <c r="IG2" s="11" t="n">
        <v>45273</v>
      </c>
      <c r="IH2" s="6" t="n">
        <v>2</v>
      </c>
      <c r="II2" s="6" t="n">
        <v>1985.78</v>
      </c>
      <c r="IJ2" s="11" t="n">
        <v>45488</v>
      </c>
      <c r="IK2" s="6" t="n">
        <v>10</v>
      </c>
      <c r="IL2" s="6" t="n">
        <v>6040.4</v>
      </c>
      <c r="IM2" s="11" t="n">
        <v>44960</v>
      </c>
      <c r="IN2" s="6" t="n">
        <v>1</v>
      </c>
      <c r="IO2" s="6" t="n">
        <v>937.71</v>
      </c>
      <c r="IP2" s="11" t="n">
        <v>45307</v>
      </c>
      <c r="IQ2" s="6" t="n">
        <v>2</v>
      </c>
      <c r="IR2" s="6" t="n">
        <v>1960.69</v>
      </c>
      <c r="IS2" s="11" t="n">
        <v>45348</v>
      </c>
      <c r="IT2" s="6" t="n">
        <v>1</v>
      </c>
      <c r="IU2" s="6" t="n">
        <v>724.33</v>
      </c>
    </row>
    <row collapsed="false" customFormat="false" customHeight="false" hidden="false" ht="12.1" outlineLevel="0" r="3">
      <c r="A3" s="11" t="n">
        <v>44771</v>
      </c>
      <c r="B3" s="6" t="n">
        <v>1</v>
      </c>
      <c r="C3" s="6" t="n">
        <v>349.7</v>
      </c>
      <c r="D3" s="11" t="n">
        <v>45623</v>
      </c>
      <c r="E3" s="6" t="n">
        <v>30</v>
      </c>
      <c r="F3" s="6" t="n">
        <v>6735.28</v>
      </c>
      <c r="G3" s="11" t="n">
        <v>45603</v>
      </c>
      <c r="H3" s="6" t="n">
        <v>500</v>
      </c>
      <c r="I3" s="6" t="n">
        <v>4255.9</v>
      </c>
      <c r="J3" s="11" t="n">
        <v>45509</v>
      </c>
      <c r="K3" s="6" t="n">
        <v>300</v>
      </c>
      <c r="L3" s="6" t="n">
        <v>4260.4</v>
      </c>
      <c r="M3" s="11" t="n">
        <v>45537</v>
      </c>
      <c r="N3" s="6" t="n">
        <v>1</v>
      </c>
      <c r="O3" s="6" t="n">
        <v>4667.72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45537</v>
      </c>
      <c r="W3" s="6" t="n">
        <v>5</v>
      </c>
      <c r="X3" s="6" t="n">
        <v>3204.31</v>
      </c>
      <c r="Y3" s="0"/>
      <c r="Z3" s="5" t="s">
        <f>=SUM(AA2:AA2)/SUM(Z2:Z2)</f>
      </c>
      <c r="AA3" s="0" t="s">
        <v>11</v>
      </c>
      <c r="AB3" s="11" t="n">
        <v>45491</v>
      </c>
      <c r="AC3" s="6" t="n">
        <v>5</v>
      </c>
      <c r="AD3" s="6" t="n">
        <v>3003.4</v>
      </c>
      <c r="AE3" s="11" t="n">
        <v>45454</v>
      </c>
      <c r="AF3" s="6" t="n">
        <v>100</v>
      </c>
      <c r="AG3" s="6" t="n">
        <v>2888.81</v>
      </c>
      <c r="AH3" s="0"/>
      <c r="AI3" s="5" t="s">
        <f>=SUM(AJ2:AJ2)/SUM(AI2:AI2)</f>
      </c>
      <c r="AJ3" s="0" t="s">
        <v>11</v>
      </c>
      <c r="AK3" s="11" t="n">
        <v>45537</v>
      </c>
      <c r="AL3" s="6" t="n">
        <v>3000</v>
      </c>
      <c r="AM3" s="6" t="n">
        <v>1789.13</v>
      </c>
      <c r="AN3" s="0"/>
      <c r="AO3" s="5" t="s">
        <f>=SUM(AP2:AP2)/SUM(AO2:AO2)</f>
      </c>
      <c r="AP3" s="0" t="s">
        <v>11</v>
      </c>
      <c r="AQ3" s="11" t="n">
        <v>44810</v>
      </c>
      <c r="AR3" s="6" t="n">
        <v>100</v>
      </c>
      <c r="AS3" s="6" t="n">
        <v>1450.87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45484</v>
      </c>
      <c r="BD3" s="6" t="n">
        <v>10</v>
      </c>
      <c r="BE3" s="6" t="n">
        <v>1664.33</v>
      </c>
      <c r="BF3" s="11" t="n">
        <v>45044</v>
      </c>
      <c r="BG3" s="6" t="n">
        <v>1</v>
      </c>
      <c r="BH3" s="6" t="n">
        <v>597.8</v>
      </c>
      <c r="BI3" s="11" t="n">
        <v>44727</v>
      </c>
      <c r="BJ3" s="6" t="n">
        <v>10</v>
      </c>
      <c r="BK3" s="6" t="n">
        <v>664.9</v>
      </c>
      <c r="BL3" s="0"/>
      <c r="BM3" s="5" t="s">
        <f>=SUM(BN2:BN2)/SUM(BM2:BM2)</f>
      </c>
      <c r="BN3" s="0" t="s">
        <v>11</v>
      </c>
      <c r="BO3" s="11" t="n">
        <v>45491</v>
      </c>
      <c r="BP3" s="6" t="n">
        <v>5</v>
      </c>
      <c r="BQ3" s="6" t="n">
        <v>1248.19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44777</v>
      </c>
      <c r="CE3" s="6" t="n">
        <v>100</v>
      </c>
      <c r="CF3" s="6" t="n">
        <v>312.34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11" t="n">
        <v>44798</v>
      </c>
      <c r="CZ3" s="6" t="n">
        <v>10</v>
      </c>
      <c r="DA3" s="6" t="n">
        <v>466.28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11" t="n">
        <v>44820</v>
      </c>
      <c r="DI3" s="6" t="n">
        <v>10</v>
      </c>
      <c r="DJ3" s="6" t="n">
        <v>480.24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11" t="n">
        <v>44960</v>
      </c>
      <c r="DU3" s="6" t="n">
        <v>2</v>
      </c>
      <c r="DV3" s="6" t="n">
        <v>242.21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11" t="n">
        <v>45418</v>
      </c>
      <c r="ED3" s="6" t="n">
        <v>100</v>
      </c>
      <c r="EE3" s="6" t="n">
        <v>13674.8844</v>
      </c>
      <c r="EF3" s="11" t="n">
        <v>45327</v>
      </c>
      <c r="EG3" s="6" t="n">
        <v>50</v>
      </c>
      <c r="EH3" s="6" t="n">
        <v>6989.09</v>
      </c>
      <c r="EI3" s="11" t="n">
        <v>44895</v>
      </c>
      <c r="EJ3" s="6" t="n">
        <v>1640</v>
      </c>
      <c r="EK3" s="6" t="n">
        <v>1453.23</v>
      </c>
      <c r="EL3" s="11" t="n">
        <v>45527</v>
      </c>
      <c r="EM3" s="6" t="n">
        <v>30</v>
      </c>
      <c r="EN3" s="6" t="n">
        <v>3755.63</v>
      </c>
      <c r="EO3" s="11" t="n">
        <v>45855</v>
      </c>
      <c r="EP3" s="6" t="n">
        <v>1850</v>
      </c>
      <c r="EQ3" s="6" t="n">
        <v>3230.1</v>
      </c>
      <c r="ER3" s="11" t="n">
        <v>45429</v>
      </c>
      <c r="ES3" s="6" t="n">
        <v>17</v>
      </c>
      <c r="ET3" s="6" t="n">
        <v>10350.01</v>
      </c>
      <c r="EU3" s="11" t="n">
        <v>45429</v>
      </c>
      <c r="EV3" s="6" t="n">
        <v>20</v>
      </c>
      <c r="EW3" s="6" t="n">
        <v>12555.13</v>
      </c>
      <c r="EX3" s="11" t="n">
        <v>45560</v>
      </c>
      <c r="EY3" s="6" t="n">
        <v>3</v>
      </c>
      <c r="EZ3" s="6" t="n">
        <v>2111.98</v>
      </c>
      <c r="FA3" s="11" t="n">
        <v>45378</v>
      </c>
      <c r="FB3" s="6" t="n">
        <v>10</v>
      </c>
      <c r="FC3" s="6" t="n">
        <v>8963.55</v>
      </c>
      <c r="FD3" s="11" t="n">
        <v>45385</v>
      </c>
      <c r="FE3" s="6" t="n">
        <v>15</v>
      </c>
      <c r="FF3" s="6" t="n">
        <v>10662.89</v>
      </c>
      <c r="FG3" s="11" t="n">
        <v>45560</v>
      </c>
      <c r="FH3" s="6" t="n">
        <v>14</v>
      </c>
      <c r="FI3" s="6" t="n">
        <v>10959.03</v>
      </c>
      <c r="FJ3" s="11" t="n">
        <v>45290</v>
      </c>
      <c r="FK3" s="6" t="n">
        <v>5</v>
      </c>
      <c r="FL3" s="6" t="n">
        <v>4484.4</v>
      </c>
      <c r="FM3" s="11" t="n">
        <v>45327</v>
      </c>
      <c r="FN3" s="6" t="n">
        <v>5</v>
      </c>
      <c r="FO3" s="6" t="n">
        <v>4195.66</v>
      </c>
      <c r="FP3" s="11" t="n">
        <v>45573</v>
      </c>
      <c r="FQ3" s="6" t="n">
        <v>14</v>
      </c>
      <c r="FR3" s="6" t="n">
        <v>10033.89</v>
      </c>
      <c r="FS3" s="0"/>
      <c r="FT3" s="5" t="s">
        <f>=SUM(FU2:FU2)/SUM(FT2:FT2)</f>
      </c>
      <c r="FU3" s="0" t="s">
        <v>11</v>
      </c>
      <c r="FV3" s="0"/>
      <c r="FW3" s="5" t="s">
        <f>=SUM(FX2:FX2)/SUM(FW2:FW2)</f>
      </c>
      <c r="FX3" s="0" t="s">
        <v>11</v>
      </c>
      <c r="FY3" s="11" t="n">
        <v>45434</v>
      </c>
      <c r="FZ3" s="6" t="n">
        <v>9</v>
      </c>
      <c r="GA3" s="6" t="n">
        <v>8108.84</v>
      </c>
      <c r="GB3" s="11" t="n">
        <v>45457</v>
      </c>
      <c r="GC3" s="6" t="n">
        <v>10</v>
      </c>
      <c r="GD3" s="6" t="n">
        <v>7068.48</v>
      </c>
      <c r="GE3" s="11" t="n">
        <v>45341</v>
      </c>
      <c r="GF3" s="6" t="n">
        <v>5</v>
      </c>
      <c r="GG3" s="6" t="n">
        <v>4713.4</v>
      </c>
      <c r="GH3" s="0"/>
      <c r="GI3" s="5" t="s">
        <f>=SUM(GJ2:GJ2)/SUM(GI2:GI2)</f>
      </c>
      <c r="GJ3" s="0" t="s">
        <v>11</v>
      </c>
      <c r="GK3" s="11" t="n">
        <v>45407</v>
      </c>
      <c r="GL3" s="6" t="n">
        <v>5</v>
      </c>
      <c r="GM3" s="6" t="n">
        <v>3398.29</v>
      </c>
      <c r="GN3" s="0"/>
      <c r="GO3" s="5" t="s">
        <f>=SUM(GP2:GP2)/SUM(GO2:GO2)</f>
      </c>
      <c r="GP3" s="0" t="s">
        <v>11</v>
      </c>
      <c r="GQ3" s="11" t="n">
        <v>45297</v>
      </c>
      <c r="GR3" s="6" t="n">
        <v>3</v>
      </c>
      <c r="GS3" s="6" t="n">
        <v>2712.7</v>
      </c>
      <c r="GT3" s="0"/>
      <c r="GU3" s="5" t="s">
        <f>=SUM(GV2:GV2)/SUM(GU2:GU2)</f>
      </c>
      <c r="GV3" s="0" t="s">
        <v>11</v>
      </c>
      <c r="GW3" s="11" t="n">
        <v>45336</v>
      </c>
      <c r="GX3" s="6" t="n">
        <v>5</v>
      </c>
      <c r="GY3" s="6" t="n">
        <v>5068.56</v>
      </c>
      <c r="GZ3" s="0"/>
      <c r="HA3" s="5" t="s">
        <f>=SUM(HB2:HB2)/SUM(HA2:HA2)</f>
      </c>
      <c r="HB3" s="0" t="s">
        <v>11</v>
      </c>
      <c r="HC3" s="0"/>
      <c r="HD3" s="5" t="s">
        <f>=SUM(HE2:HE2)/SUM(HD2:HD2)</f>
      </c>
      <c r="HE3" s="0" t="s">
        <v>11</v>
      </c>
      <c r="HF3" s="11" t="n">
        <v>45341</v>
      </c>
      <c r="HG3" s="6" t="n">
        <v>2</v>
      </c>
      <c r="HH3" s="6" t="n">
        <v>2013.7</v>
      </c>
      <c r="HI3" s="11" t="n">
        <v>45341</v>
      </c>
      <c r="HJ3" s="6" t="n">
        <v>2</v>
      </c>
      <c r="HK3" s="6" t="n">
        <v>1814.64</v>
      </c>
      <c r="HL3" s="11" t="n">
        <v>45316</v>
      </c>
      <c r="HM3" s="6" t="n">
        <v>2</v>
      </c>
      <c r="HN3" s="6" t="n">
        <v>1903.07</v>
      </c>
      <c r="HO3" s="11" t="n">
        <v>45321</v>
      </c>
      <c r="HP3" s="6" t="n">
        <v>2</v>
      </c>
      <c r="HQ3" s="6" t="n">
        <v>1917.37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</row>
    <row collapsed="false" customFormat="false" customHeight="false" hidden="false" ht="12.1" outlineLevel="0" r="4">
      <c r="A4" s="11" t="n">
        <v>45196</v>
      </c>
      <c r="B4" s="6" t="n">
        <v>1</v>
      </c>
      <c r="C4" s="6" t="n">
        <v>529.87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0"/>
      <c r="Q4" s="6" t="n">
        <v>6542.5</v>
      </c>
      <c r="R4" s="0" t="s">
        <v>638</v>
      </c>
      <c r="S4" s="0"/>
      <c r="T4" s="6" t="n">
        <v>129.8</v>
      </c>
      <c r="U4" s="0" t="s">
        <v>638</v>
      </c>
      <c r="V4" s="11" t="n">
        <v>45544</v>
      </c>
      <c r="W4" s="6" t="n">
        <v>5</v>
      </c>
      <c r="X4" s="6" t="n">
        <v>3344.18</v>
      </c>
      <c r="Y4" s="0"/>
      <c r="Z4" s="6" t="n">
        <v>1229.6</v>
      </c>
      <c r="AA4" s="0" t="s">
        <v>638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6" t="n">
        <v>45.55</v>
      </c>
      <c r="AJ4" s="0" t="s">
        <v>638</v>
      </c>
      <c r="AK4" s="0"/>
      <c r="AL4" s="5" t="s">
        <f>=SUM(AM2:AM3)/SUM(AL2:AL3)</f>
      </c>
      <c r="AM4" s="0" t="s">
        <v>11</v>
      </c>
      <c r="AN4" s="0"/>
      <c r="AO4" s="6" t="n">
        <v>1817</v>
      </c>
      <c r="AP4" s="0" t="s">
        <v>638</v>
      </c>
      <c r="AQ4" s="0"/>
      <c r="AR4" s="5" t="s">
        <f>=SUM(AS2:AS3)/SUM(AR2:AR3)</f>
      </c>
      <c r="AS4" s="0" t="s">
        <v>11</v>
      </c>
      <c r="AT4" s="0"/>
      <c r="AU4" s="6" t="n">
        <v>59.45</v>
      </c>
      <c r="AV4" s="0" t="s">
        <v>638</v>
      </c>
      <c r="AW4" s="0"/>
      <c r="AX4" s="6" t="n">
        <v>0.13185</v>
      </c>
      <c r="AY4" s="0" t="s">
        <v>638</v>
      </c>
      <c r="AZ4" s="0"/>
      <c r="BA4" s="6" t="n">
        <v>1314.6</v>
      </c>
      <c r="BB4" s="0" t="s">
        <v>638</v>
      </c>
      <c r="BC4" s="0"/>
      <c r="BD4" s="5" t="s">
        <f>=SUM(BE2:BE3)/SUM(BD2:BD3)</f>
      </c>
      <c r="BE4" s="0" t="s">
        <v>11</v>
      </c>
      <c r="BF4" s="11" t="n">
        <v>45083</v>
      </c>
      <c r="BG4" s="6" t="n">
        <v>1</v>
      </c>
      <c r="BH4" s="6" t="n">
        <v>577.29</v>
      </c>
      <c r="BI4" s="11" t="n">
        <v>44746</v>
      </c>
      <c r="BJ4" s="6" t="n">
        <v>10</v>
      </c>
      <c r="BK4" s="6" t="n">
        <v>645.89</v>
      </c>
      <c r="BL4" s="0"/>
      <c r="BM4" s="6" t="n">
        <v>176.78</v>
      </c>
      <c r="BN4" s="0" t="s">
        <v>638</v>
      </c>
      <c r="BO4" s="0"/>
      <c r="BP4" s="5" t="s">
        <f>=SUM(BQ2:BQ3)/SUM(BP2:BP3)</f>
      </c>
      <c r="BQ4" s="0" t="s">
        <v>11</v>
      </c>
      <c r="BR4" s="0"/>
      <c r="BS4" s="6" t="n">
        <v>1.666</v>
      </c>
      <c r="BT4" s="0" t="s">
        <v>638</v>
      </c>
      <c r="BU4" s="0"/>
      <c r="BV4" s="6" t="n">
        <v>69.11</v>
      </c>
      <c r="BW4" s="0" t="s">
        <v>638</v>
      </c>
      <c r="BX4" s="0"/>
      <c r="BY4" s="6" t="n">
        <v>130.93</v>
      </c>
      <c r="BZ4" s="0" t="s">
        <v>638</v>
      </c>
      <c r="CA4" s="0"/>
      <c r="CB4" s="6" t="n">
        <v>1343</v>
      </c>
      <c r="CC4" s="0" t="s">
        <v>638</v>
      </c>
      <c r="CD4" s="11" t="n">
        <v>45120</v>
      </c>
      <c r="CE4" s="6" t="n">
        <v>100</v>
      </c>
      <c r="CF4" s="6" t="n">
        <v>415.58</v>
      </c>
      <c r="CG4" s="0"/>
      <c r="CH4" s="6" t="n">
        <v>400.9</v>
      </c>
      <c r="CI4" s="0" t="s">
        <v>638</v>
      </c>
      <c r="CJ4" s="0"/>
      <c r="CK4" s="6" t="n">
        <v>620</v>
      </c>
      <c r="CL4" s="0" t="s">
        <v>638</v>
      </c>
      <c r="CM4" s="0"/>
      <c r="CN4" s="6" t="n">
        <v>119.04</v>
      </c>
      <c r="CO4" s="0" t="s">
        <v>638</v>
      </c>
      <c r="CP4" s="0"/>
      <c r="CQ4" s="6" t="n">
        <v>1227.6</v>
      </c>
      <c r="CR4" s="0" t="s">
        <v>638</v>
      </c>
      <c r="CS4" s="0"/>
      <c r="CT4" s="6" t="n">
        <v>1085.8</v>
      </c>
      <c r="CU4" s="0" t="s">
        <v>638</v>
      </c>
      <c r="CV4" s="0"/>
      <c r="CW4" s="6" t="n">
        <v>0.07248</v>
      </c>
      <c r="CX4" s="0" t="s">
        <v>638</v>
      </c>
      <c r="CY4" s="0"/>
      <c r="CZ4" s="5" t="s">
        <f>=SUM(DA2:DA3)/SUM(CZ2:CZ3)</f>
      </c>
      <c r="DA4" s="0" t="s">
        <v>11</v>
      </c>
      <c r="DB4" s="0"/>
      <c r="DC4" s="6" t="n">
        <v>792.8</v>
      </c>
      <c r="DD4" s="0" t="s">
        <v>638</v>
      </c>
      <c r="DE4" s="0"/>
      <c r="DF4" s="6" t="n">
        <v>634.4</v>
      </c>
      <c r="DG4" s="0" t="s">
        <v>638</v>
      </c>
      <c r="DH4" s="0"/>
      <c r="DI4" s="5" t="s">
        <f>=SUM(DJ2:DJ3)/SUM(DI2:DI3)</f>
      </c>
      <c r="DJ4" s="0" t="s">
        <v>11</v>
      </c>
      <c r="DK4" s="0"/>
      <c r="DL4" s="6" t="n">
        <v>51.02</v>
      </c>
      <c r="DM4" s="0" t="s">
        <v>638</v>
      </c>
      <c r="DN4" s="0"/>
      <c r="DO4" s="6" t="n">
        <v>117.5</v>
      </c>
      <c r="DP4" s="0" t="s">
        <v>638</v>
      </c>
      <c r="DQ4" s="0"/>
      <c r="DR4" s="6" t="n">
        <v>33.34</v>
      </c>
      <c r="DS4" s="0" t="s">
        <v>638</v>
      </c>
      <c r="DT4" s="0"/>
      <c r="DU4" s="5" t="s">
        <f>=SUM(DV2:DV3)/SUM(DU2:DU3)</f>
      </c>
      <c r="DV4" s="0" t="s">
        <v>11</v>
      </c>
      <c r="DW4" s="0"/>
      <c r="DX4" s="6" t="n">
        <v>89.6</v>
      </c>
      <c r="DY4" s="0" t="s">
        <v>638</v>
      </c>
      <c r="DZ4" s="0"/>
      <c r="EA4" s="6" t="n">
        <v>1.56</v>
      </c>
      <c r="EB4" s="0" t="s">
        <v>638</v>
      </c>
      <c r="EC4" s="11" t="n">
        <v>45635</v>
      </c>
      <c r="ED4" s="6" t="n">
        <v>18</v>
      </c>
      <c r="EE4" s="6" t="n">
        <v>2871</v>
      </c>
      <c r="EF4" s="11" t="n">
        <v>45462</v>
      </c>
      <c r="EG4" s="6" t="n">
        <v>1</v>
      </c>
      <c r="EH4" s="6" t="n">
        <v>141.44</v>
      </c>
      <c r="EI4" s="11" t="n">
        <v>45272</v>
      </c>
      <c r="EJ4" s="6" t="n">
        <v>4000</v>
      </c>
      <c r="EK4" s="6" t="n">
        <v>5893.77</v>
      </c>
      <c r="EL4" s="11" t="n">
        <v>45537</v>
      </c>
      <c r="EM4" s="6" t="n">
        <v>4</v>
      </c>
      <c r="EN4" s="6" t="n">
        <v>487.55</v>
      </c>
      <c r="EO4" s="11" t="n">
        <v>45874</v>
      </c>
      <c r="EP4" s="6" t="n">
        <v>150</v>
      </c>
      <c r="EQ4" s="6" t="n">
        <v>264.41</v>
      </c>
      <c r="ER4" s="11" t="n">
        <v>45447</v>
      </c>
      <c r="ES4" s="6" t="n">
        <v>10</v>
      </c>
      <c r="ET4" s="6" t="n">
        <v>5499.57</v>
      </c>
      <c r="EU4" s="11" t="n">
        <v>45464</v>
      </c>
      <c r="EV4" s="6" t="n">
        <v>20</v>
      </c>
      <c r="EW4" s="6" t="n">
        <v>11651.91</v>
      </c>
      <c r="EX4" s="11" t="n">
        <v>45568</v>
      </c>
      <c r="EY4" s="6" t="n">
        <v>3</v>
      </c>
      <c r="EZ4" s="6" t="n">
        <v>2055.76</v>
      </c>
      <c r="FA4" s="11" t="n">
        <v>45391</v>
      </c>
      <c r="FB4" s="6" t="n">
        <v>20</v>
      </c>
      <c r="FC4" s="6" t="n">
        <v>16901.46</v>
      </c>
      <c r="FD4" s="11" t="n">
        <v>45429</v>
      </c>
      <c r="FE4" s="6" t="n">
        <v>20</v>
      </c>
      <c r="FF4" s="6" t="n">
        <v>13349.4</v>
      </c>
      <c r="FG4" s="0"/>
      <c r="FH4" s="5" t="s">
        <f>=SUM(FI2:FI3)/SUM(FH2:FH3)</f>
      </c>
      <c r="FI4" s="0" t="s">
        <v>11</v>
      </c>
      <c r="FJ4" s="11" t="n">
        <v>45320</v>
      </c>
      <c r="FK4" s="6" t="n">
        <v>23</v>
      </c>
      <c r="FL4" s="6" t="n">
        <v>21275.18</v>
      </c>
      <c r="FM4" s="11" t="n">
        <v>45341</v>
      </c>
      <c r="FN4" s="6" t="n">
        <v>5</v>
      </c>
      <c r="FO4" s="6" t="n">
        <v>4177.51</v>
      </c>
      <c r="FP4" s="0"/>
      <c r="FQ4" s="5" t="s">
        <f>=SUM(FR2:FR3)/SUM(FQ2:FQ3)</f>
      </c>
      <c r="FR4" s="0" t="s">
        <v>11</v>
      </c>
      <c r="FS4" s="0"/>
      <c r="FT4" s="6" t="n">
        <v>91.874</v>
      </c>
      <c r="FU4" s="0" t="s">
        <v>638</v>
      </c>
      <c r="FV4" s="0"/>
      <c r="FW4" s="6" t="n">
        <v>91.845</v>
      </c>
      <c r="FX4" s="0" t="s">
        <v>638</v>
      </c>
      <c r="FY4" s="0"/>
      <c r="FZ4" s="5" t="s">
        <f>=SUM(GA2:GA3)/SUM(FZ2:FZ3)</f>
      </c>
      <c r="GA4" s="0" t="s">
        <v>11</v>
      </c>
      <c r="GB4" s="11" t="n">
        <v>45496</v>
      </c>
      <c r="GC4" s="6" t="n">
        <v>3</v>
      </c>
      <c r="GD4" s="6" t="n">
        <v>2098.08</v>
      </c>
      <c r="GE4" s="0"/>
      <c r="GF4" s="5" t="s">
        <f>=SUM(GG2:GG3)/SUM(GF2:GF3)</f>
      </c>
      <c r="GG4" s="0" t="s">
        <v>11</v>
      </c>
      <c r="GH4" s="0"/>
      <c r="GI4" s="6" t="n">
        <v>98.625</v>
      </c>
      <c r="GJ4" s="0" t="s">
        <v>638</v>
      </c>
      <c r="GK4" s="0"/>
      <c r="GL4" s="5" t="s">
        <f>=SUM(GM2:GM3)/SUM(GL2:GL3)</f>
      </c>
      <c r="GM4" s="0" t="s">
        <v>11</v>
      </c>
      <c r="GN4" s="0"/>
      <c r="GO4" s="6" t="n">
        <v>83.946</v>
      </c>
      <c r="GP4" s="0" t="s">
        <v>638</v>
      </c>
      <c r="GQ4" s="11" t="n">
        <v>45327</v>
      </c>
      <c r="GR4" s="6" t="n">
        <v>3</v>
      </c>
      <c r="GS4" s="6" t="n">
        <v>2752.28</v>
      </c>
      <c r="GT4" s="0"/>
      <c r="GU4" s="6" t="n">
        <v>107.59</v>
      </c>
      <c r="GV4" s="0" t="s">
        <v>638</v>
      </c>
      <c r="GW4" s="0"/>
      <c r="GX4" s="5" t="s">
        <f>=SUM(GY2:GY3)/SUM(GX2:GX3)</f>
      </c>
      <c r="GY4" s="0" t="s">
        <v>11</v>
      </c>
      <c r="GZ4" s="0"/>
      <c r="HA4" s="6" t="n">
        <v>104.71</v>
      </c>
      <c r="HB4" s="0" t="s">
        <v>638</v>
      </c>
      <c r="HC4" s="0"/>
      <c r="HD4" s="6" t="n">
        <v>93.16</v>
      </c>
      <c r="HE4" s="0" t="s">
        <v>638</v>
      </c>
      <c r="HF4" s="11" t="n">
        <v>45343</v>
      </c>
      <c r="HG4" s="6" t="n">
        <v>1</v>
      </c>
      <c r="HH4" s="6" t="n">
        <v>933.87</v>
      </c>
      <c r="HI4" s="0"/>
      <c r="HJ4" s="5" t="s">
        <f>=SUM(HK2:HK3)/SUM(HJ2:HJ3)</f>
      </c>
      <c r="HK4" s="0" t="s">
        <v>11</v>
      </c>
      <c r="HL4" s="0"/>
      <c r="HM4" s="5" t="s">
        <f>=SUM(HN2:HN3)/SUM(HM2:HM3)</f>
      </c>
      <c r="HN4" s="0" t="s">
        <v>11</v>
      </c>
      <c r="HO4" s="0"/>
      <c r="HP4" s="5" t="s">
        <f>=SUM(HQ2:HQ3)/SUM(HP2:HP3)</f>
      </c>
      <c r="HQ4" s="0" t="s">
        <v>11</v>
      </c>
      <c r="HR4" s="0"/>
      <c r="HS4" s="6" t="n">
        <v>93</v>
      </c>
      <c r="HT4" s="0" t="s">
        <v>638</v>
      </c>
      <c r="HU4" s="0"/>
      <c r="HV4" s="6" t="n">
        <v>95.77</v>
      </c>
      <c r="HW4" s="0" t="s">
        <v>638</v>
      </c>
      <c r="HX4" s="0"/>
      <c r="HY4" s="6" t="n">
        <v>95.26</v>
      </c>
      <c r="HZ4" s="0" t="s">
        <v>638</v>
      </c>
      <c r="IA4" s="0"/>
      <c r="IB4" s="6" t="n">
        <v>98.62</v>
      </c>
      <c r="IC4" s="0" t="s">
        <v>638</v>
      </c>
      <c r="ID4" s="0"/>
      <c r="IE4" s="6" t="n">
        <v>98.5</v>
      </c>
      <c r="IF4" s="0" t="s">
        <v>638</v>
      </c>
      <c r="IG4" s="0"/>
      <c r="IH4" s="6" t="n">
        <v>89.93</v>
      </c>
      <c r="II4" s="0" t="s">
        <v>638</v>
      </c>
      <c r="IJ4" s="0"/>
      <c r="IK4" s="6" t="n">
        <v>98.06</v>
      </c>
      <c r="IL4" s="0" t="s">
        <v>638</v>
      </c>
      <c r="IM4" s="0"/>
      <c r="IN4" s="6" t="n">
        <v>101.54</v>
      </c>
      <c r="IO4" s="0" t="s">
        <v>638</v>
      </c>
      <c r="IP4" s="0"/>
      <c r="IQ4" s="6" t="n">
        <v>99.89</v>
      </c>
      <c r="IR4" s="0" t="s">
        <v>638</v>
      </c>
      <c r="IS4" s="0"/>
      <c r="IT4" s="6" t="n">
        <v>100.52</v>
      </c>
      <c r="IU4" s="0" t="s">
        <v>638</v>
      </c>
    </row>
    <row collapsed="false" customFormat="false" customHeight="false" hidden="false" ht="12.1" outlineLevel="0" r="5">
      <c r="A5" s="11" t="n">
        <v>45503</v>
      </c>
      <c r="B5" s="6" t="n">
        <v>10</v>
      </c>
      <c r="C5" s="6" t="n">
        <v>5068.55</v>
      </c>
      <c r="D5" s="0"/>
      <c r="E5" s="6" t="n">
        <v>309.75</v>
      </c>
      <c r="F5" s="0" t="s">
        <v>638</v>
      </c>
      <c r="G5" s="0"/>
      <c r="H5" s="6" t="n">
        <v>8.865</v>
      </c>
      <c r="I5" s="0" t="s">
        <v>638</v>
      </c>
      <c r="J5" s="0"/>
      <c r="K5" s="6" t="n">
        <v>14.99</v>
      </c>
      <c r="L5" s="0" t="s">
        <v>638</v>
      </c>
      <c r="M5" s="0"/>
      <c r="N5" s="6" t="n">
        <v>3483</v>
      </c>
      <c r="O5" s="0" t="s">
        <v>638</v>
      </c>
      <c r="P5" s="0"/>
      <c r="Q5" s="6" t="n">
        <v>1</v>
      </c>
      <c r="R5" s="0" t="s">
        <v>639</v>
      </c>
      <c r="S5" s="0"/>
      <c r="T5" s="6" t="n">
        <v>50</v>
      </c>
      <c r="U5" s="0" t="s">
        <v>639</v>
      </c>
      <c r="V5" s="0"/>
      <c r="W5" s="5" t="s">
        <f>=SUM(X2:X4)/SUM(W2:W4)</f>
      </c>
      <c r="X5" s="0" t="s">
        <v>11</v>
      </c>
      <c r="Y5" s="0"/>
      <c r="Z5" s="6" t="n">
        <v>5</v>
      </c>
      <c r="AA5" s="0" t="s">
        <v>639</v>
      </c>
      <c r="AB5" s="0"/>
      <c r="AC5" s="6" t="n">
        <v>817.3</v>
      </c>
      <c r="AD5" s="0" t="s">
        <v>638</v>
      </c>
      <c r="AE5" s="0"/>
      <c r="AF5" s="6" t="n">
        <v>22.81</v>
      </c>
      <c r="AG5" s="0" t="s">
        <v>638</v>
      </c>
      <c r="AH5" s="0"/>
      <c r="AI5" s="6" t="n">
        <v>100</v>
      </c>
      <c r="AJ5" s="0" t="s">
        <v>639</v>
      </c>
      <c r="AK5" s="0"/>
      <c r="AL5" s="6" t="n">
        <v>0.62</v>
      </c>
      <c r="AM5" s="0" t="s">
        <v>638</v>
      </c>
      <c r="AN5" s="0"/>
      <c r="AO5" s="6" t="n">
        <v>2</v>
      </c>
      <c r="AP5" s="0" t="s">
        <v>639</v>
      </c>
      <c r="AQ5" s="0"/>
      <c r="AR5" s="6" t="n">
        <v>16.196</v>
      </c>
      <c r="AS5" s="0" t="s">
        <v>638</v>
      </c>
      <c r="AT5" s="0"/>
      <c r="AU5" s="6" t="n">
        <v>50</v>
      </c>
      <c r="AV5" s="0" t="s">
        <v>639</v>
      </c>
      <c r="AW5" s="0"/>
      <c r="AX5" s="6" t="n">
        <v>22000</v>
      </c>
      <c r="AY5" s="0" t="s">
        <v>639</v>
      </c>
      <c r="AZ5" s="0"/>
      <c r="BA5" s="6" t="n">
        <v>2</v>
      </c>
      <c r="BB5" s="0" t="s">
        <v>639</v>
      </c>
      <c r="BC5" s="0"/>
      <c r="BD5" s="6" t="n">
        <v>120.82</v>
      </c>
      <c r="BE5" s="0" t="s">
        <v>638</v>
      </c>
      <c r="BF5" s="0"/>
      <c r="BG5" s="5" t="s">
        <f>=SUM(BH2:BH4)/SUM(BG2:BG4)</f>
      </c>
      <c r="BH5" s="0" t="s">
        <v>11</v>
      </c>
      <c r="BI5" s="11" t="n">
        <v>44763</v>
      </c>
      <c r="BJ5" s="6" t="n">
        <v>10</v>
      </c>
      <c r="BK5" s="6" t="n">
        <v>599.16</v>
      </c>
      <c r="BL5" s="0"/>
      <c r="BM5" s="6" t="n">
        <v>10</v>
      </c>
      <c r="BN5" s="0" t="s">
        <v>639</v>
      </c>
      <c r="BO5" s="0"/>
      <c r="BP5" s="6" t="n">
        <v>180.2</v>
      </c>
      <c r="BQ5" s="0" t="s">
        <v>638</v>
      </c>
      <c r="BR5" s="0"/>
      <c r="BS5" s="6" t="n">
        <v>1000</v>
      </c>
      <c r="BT5" s="0" t="s">
        <v>639</v>
      </c>
      <c r="BU5" s="0"/>
      <c r="BV5" s="6" t="n">
        <v>20</v>
      </c>
      <c r="BW5" s="0" t="s">
        <v>639</v>
      </c>
      <c r="BX5" s="0"/>
      <c r="BY5" s="6" t="n">
        <v>10</v>
      </c>
      <c r="BZ5" s="0" t="s">
        <v>639</v>
      </c>
      <c r="CA5" s="0"/>
      <c r="CB5" s="6" t="n">
        <v>1</v>
      </c>
      <c r="CC5" s="0" t="s">
        <v>639</v>
      </c>
      <c r="CD5" s="11" t="n">
        <v>45537</v>
      </c>
      <c r="CE5" s="6" t="n">
        <v>100</v>
      </c>
      <c r="CF5" s="6" t="n">
        <v>362.69</v>
      </c>
      <c r="CG5" s="0"/>
      <c r="CH5" s="6" t="n">
        <v>3</v>
      </c>
      <c r="CI5" s="0" t="s">
        <v>639</v>
      </c>
      <c r="CJ5" s="0"/>
      <c r="CK5" s="6" t="n">
        <v>2</v>
      </c>
      <c r="CL5" s="0" t="s">
        <v>639</v>
      </c>
      <c r="CM5" s="0"/>
      <c r="CN5" s="6" t="n">
        <v>10</v>
      </c>
      <c r="CO5" s="0" t="s">
        <v>639</v>
      </c>
      <c r="CP5" s="0"/>
      <c r="CQ5" s="6" t="n">
        <v>1</v>
      </c>
      <c r="CR5" s="0" t="s">
        <v>639</v>
      </c>
      <c r="CS5" s="0"/>
      <c r="CT5" s="6" t="n">
        <v>1</v>
      </c>
      <c r="CU5" s="0" t="s">
        <v>639</v>
      </c>
      <c r="CV5" s="0"/>
      <c r="CW5" s="6" t="n">
        <v>13402</v>
      </c>
      <c r="CX5" s="0" t="s">
        <v>639</v>
      </c>
      <c r="CY5" s="0"/>
      <c r="CZ5" s="6" t="n">
        <v>47.64</v>
      </c>
      <c r="DA5" s="0" t="s">
        <v>638</v>
      </c>
      <c r="DB5" s="0"/>
      <c r="DC5" s="6" t="n">
        <v>1</v>
      </c>
      <c r="DD5" s="0" t="s">
        <v>639</v>
      </c>
      <c r="DE5" s="0"/>
      <c r="DF5" s="6" t="n">
        <v>1</v>
      </c>
      <c r="DG5" s="0" t="s">
        <v>639</v>
      </c>
      <c r="DH5" s="0"/>
      <c r="DI5" s="6" t="n">
        <v>34.435</v>
      </c>
      <c r="DJ5" s="0" t="s">
        <v>638</v>
      </c>
      <c r="DK5" s="0"/>
      <c r="DL5" s="6" t="n">
        <v>10</v>
      </c>
      <c r="DM5" s="0" t="s">
        <v>639</v>
      </c>
      <c r="DN5" s="0"/>
      <c r="DO5" s="6" t="n">
        <v>3</v>
      </c>
      <c r="DP5" s="0" t="s">
        <v>639</v>
      </c>
      <c r="DQ5" s="0"/>
      <c r="DR5" s="6" t="n">
        <v>10</v>
      </c>
      <c r="DS5" s="0" t="s">
        <v>639</v>
      </c>
      <c r="DT5" s="0"/>
      <c r="DU5" s="6" t="n">
        <v>83.28</v>
      </c>
      <c r="DV5" s="0" t="s">
        <v>638</v>
      </c>
      <c r="DW5" s="0"/>
      <c r="DX5" s="6" t="n">
        <v>2</v>
      </c>
      <c r="DY5" s="0" t="s">
        <v>639</v>
      </c>
      <c r="DZ5" s="0"/>
      <c r="EA5" s="6" t="n">
        <v>100</v>
      </c>
      <c r="EB5" s="0" t="s">
        <v>639</v>
      </c>
      <c r="EC5" s="11" t="n">
        <v>45695</v>
      </c>
      <c r="ED5" s="6" t="n">
        <v>42</v>
      </c>
      <c r="EE5" s="6" t="n">
        <v>6225</v>
      </c>
      <c r="EF5" s="11" t="n">
        <v>45505</v>
      </c>
      <c r="EG5" s="6" t="n">
        <v>3</v>
      </c>
      <c r="EH5" s="6" t="n">
        <v>429.67</v>
      </c>
      <c r="EI5" s="11" t="n">
        <v>45327</v>
      </c>
      <c r="EJ5" s="6" t="n">
        <v>600</v>
      </c>
      <c r="EK5" s="6" t="n">
        <v>905.98</v>
      </c>
      <c r="EL5" s="11" t="n">
        <v>45594</v>
      </c>
      <c r="EM5" s="6" t="n">
        <v>6</v>
      </c>
      <c r="EN5" s="6" t="n">
        <v>733.42</v>
      </c>
      <c r="EO5" s="11" t="n">
        <v>45880</v>
      </c>
      <c r="EP5" s="6" t="n">
        <v>4100</v>
      </c>
      <c r="EQ5" s="6" t="n">
        <v>7247.57</v>
      </c>
      <c r="ER5" s="11" t="n">
        <v>45448</v>
      </c>
      <c r="ES5" s="6" t="n">
        <v>20</v>
      </c>
      <c r="ET5" s="6" t="n">
        <v>10749.86</v>
      </c>
      <c r="EU5" s="11" t="n">
        <v>45488</v>
      </c>
      <c r="EV5" s="6" t="n">
        <v>30</v>
      </c>
      <c r="EW5" s="6" t="n">
        <v>17315.67</v>
      </c>
      <c r="EX5" s="0"/>
      <c r="EY5" s="5" t="s">
        <f>=SUM(EZ2:EZ4)/SUM(EY2:EY4)</f>
      </c>
      <c r="EZ5" s="0" t="s">
        <v>11</v>
      </c>
      <c r="FA5" s="0"/>
      <c r="FB5" s="5" t="s">
        <f>=SUM(FC2:FC4)/SUM(FB2:FB4)</f>
      </c>
      <c r="FC5" s="0" t="s">
        <v>11</v>
      </c>
      <c r="FD5" s="0"/>
      <c r="FE5" s="5" t="s">
        <f>=SUM(FF2:FF4)/SUM(FE2:FE4)</f>
      </c>
      <c r="FF5" s="0" t="s">
        <v>11</v>
      </c>
      <c r="FG5" s="0"/>
      <c r="FH5" s="6" t="n">
        <v>91.49</v>
      </c>
      <c r="FI5" s="0" t="s">
        <v>638</v>
      </c>
      <c r="FJ5" s="0"/>
      <c r="FK5" s="5" t="s">
        <f>=SUM(FL2:FL4)/SUM(FK2:FK4)</f>
      </c>
      <c r="FL5" s="0" t="s">
        <v>11</v>
      </c>
      <c r="FM5" s="11" t="n">
        <v>45371</v>
      </c>
      <c r="FN5" s="6" t="n">
        <v>16</v>
      </c>
      <c r="FO5" s="6" t="n">
        <v>12321.51</v>
      </c>
      <c r="FP5" s="0"/>
      <c r="FQ5" s="6" t="n">
        <v>82.568</v>
      </c>
      <c r="FR5" s="0" t="s">
        <v>638</v>
      </c>
      <c r="FS5" s="0"/>
      <c r="FT5" s="6" t="n">
        <v>20</v>
      </c>
      <c r="FU5" s="0" t="s">
        <v>639</v>
      </c>
      <c r="FV5" s="0"/>
      <c r="FW5" s="6" t="n">
        <v>20</v>
      </c>
      <c r="FX5" s="0" t="s">
        <v>639</v>
      </c>
      <c r="FY5" s="0"/>
      <c r="FZ5" s="6" t="n">
        <v>96.58</v>
      </c>
      <c r="GA5" s="0" t="s">
        <v>638</v>
      </c>
      <c r="GB5" s="0"/>
      <c r="GC5" s="5" t="s">
        <f>=SUM(GD2:GD4)/SUM(GC2:GC4)</f>
      </c>
      <c r="GD5" s="0" t="s">
        <v>11</v>
      </c>
      <c r="GE5" s="0"/>
      <c r="GF5" s="6" t="n">
        <v>95.159</v>
      </c>
      <c r="GG5" s="0" t="s">
        <v>638</v>
      </c>
      <c r="GH5" s="0"/>
      <c r="GI5" s="6" t="n">
        <v>10</v>
      </c>
      <c r="GJ5" s="0" t="s">
        <v>639</v>
      </c>
      <c r="GK5" s="0"/>
      <c r="GL5" s="6" t="n">
        <v>77.36</v>
      </c>
      <c r="GM5" s="0" t="s">
        <v>638</v>
      </c>
      <c r="GN5" s="0"/>
      <c r="GO5" s="6" t="n">
        <v>10</v>
      </c>
      <c r="GP5" s="0" t="s">
        <v>639</v>
      </c>
      <c r="GQ5" s="0"/>
      <c r="GR5" s="5" t="s">
        <f>=SUM(GS2:GS4)/SUM(GR2:GR4)</f>
      </c>
      <c r="GS5" s="0" t="s">
        <v>11</v>
      </c>
      <c r="GT5" s="0"/>
      <c r="GU5" s="6" t="n">
        <v>5</v>
      </c>
      <c r="GV5" s="0" t="s">
        <v>639</v>
      </c>
      <c r="GW5" s="0"/>
      <c r="GX5" s="6" t="n">
        <v>98.75</v>
      </c>
      <c r="GY5" s="0" t="s">
        <v>638</v>
      </c>
      <c r="GZ5" s="0"/>
      <c r="HA5" s="6" t="n">
        <v>5</v>
      </c>
      <c r="HB5" s="0" t="s">
        <v>639</v>
      </c>
      <c r="HC5" s="0"/>
      <c r="HD5" s="6" t="n">
        <v>5</v>
      </c>
      <c r="HE5" s="0" t="s">
        <v>639</v>
      </c>
      <c r="HF5" s="0"/>
      <c r="HG5" s="5" t="s">
        <f>=SUM(HH2:HH4)/SUM(HG2:HG4)</f>
      </c>
      <c r="HH5" s="0" t="s">
        <v>11</v>
      </c>
      <c r="HI5" s="0"/>
      <c r="HJ5" s="6" t="n">
        <v>90.45</v>
      </c>
      <c r="HK5" s="0" t="s">
        <v>638</v>
      </c>
      <c r="HL5" s="0"/>
      <c r="HM5" s="6" t="n">
        <v>102.94</v>
      </c>
      <c r="HN5" s="0" t="s">
        <v>638</v>
      </c>
      <c r="HO5" s="0"/>
      <c r="HP5" s="6" t="n">
        <v>93.37</v>
      </c>
      <c r="HQ5" s="0" t="s">
        <v>638</v>
      </c>
      <c r="HR5" s="0"/>
      <c r="HS5" s="6" t="n">
        <v>5</v>
      </c>
      <c r="HT5" s="0" t="s">
        <v>639</v>
      </c>
      <c r="HU5" s="0"/>
      <c r="HV5" s="6" t="n">
        <v>3</v>
      </c>
      <c r="HW5" s="0" t="s">
        <v>639</v>
      </c>
      <c r="HX5" s="0"/>
      <c r="HY5" s="6" t="n">
        <v>7</v>
      </c>
      <c r="HZ5" s="0" t="s">
        <v>639</v>
      </c>
      <c r="IA5" s="0"/>
      <c r="IB5" s="6" t="n">
        <v>2</v>
      </c>
      <c r="IC5" s="0" t="s">
        <v>639</v>
      </c>
      <c r="ID5" s="0"/>
      <c r="IE5" s="6" t="n">
        <v>2</v>
      </c>
      <c r="IF5" s="0" t="s">
        <v>639</v>
      </c>
      <c r="IG5" s="0"/>
      <c r="IH5" s="6" t="n">
        <v>2</v>
      </c>
      <c r="II5" s="0" t="s">
        <v>639</v>
      </c>
      <c r="IJ5" s="0"/>
      <c r="IK5" s="6" t="n">
        <v>10</v>
      </c>
      <c r="IL5" s="0" t="s">
        <v>639</v>
      </c>
      <c r="IM5" s="0"/>
      <c r="IN5" s="6" t="n">
        <v>1</v>
      </c>
      <c r="IO5" s="0" t="s">
        <v>639</v>
      </c>
      <c r="IP5" s="0"/>
      <c r="IQ5" s="6" t="n">
        <v>2</v>
      </c>
      <c r="IR5" s="0" t="s">
        <v>639</v>
      </c>
      <c r="IS5" s="0"/>
      <c r="IT5" s="6" t="n">
        <v>1</v>
      </c>
      <c r="IU5" s="0" t="s">
        <v>639</v>
      </c>
    </row>
    <row collapsed="false" customFormat="false" customHeight="false" hidden="false" ht="12.1" outlineLevel="0" r="6">
      <c r="A6" s="11" t="n">
        <v>45594</v>
      </c>
      <c r="B6" s="6" t="n">
        <v>100</v>
      </c>
      <c r="C6" s="6" t="n">
        <v>44345.45</v>
      </c>
      <c r="D6" s="0"/>
      <c r="E6" s="6" t="n">
        <v>50</v>
      </c>
      <c r="F6" s="0" t="s">
        <v>639</v>
      </c>
      <c r="G6" s="0"/>
      <c r="H6" s="6" t="n">
        <v>900</v>
      </c>
      <c r="I6" s="0" t="s">
        <v>639</v>
      </c>
      <c r="J6" s="0"/>
      <c r="K6" s="6" t="n">
        <v>500</v>
      </c>
      <c r="L6" s="0" t="s">
        <v>639</v>
      </c>
      <c r="M6" s="0"/>
      <c r="N6" s="6" t="n">
        <v>2</v>
      </c>
      <c r="O6" s="0" t="s">
        <v>639</v>
      </c>
      <c r="P6" s="0"/>
      <c r="Q6" s="5" t="s">
        <f>=Q5*(ABS(Q4)-ABS(Q3))</f>
      </c>
      <c r="R6" s="0" t="s">
        <v>640</v>
      </c>
      <c r="S6" s="0"/>
      <c r="T6" s="5" t="s">
        <f>=T5*(ABS(T4)-ABS(T3))</f>
      </c>
      <c r="U6" s="0" t="s">
        <v>640</v>
      </c>
      <c r="V6" s="0"/>
      <c r="W6" s="6" t="n">
        <v>527.35</v>
      </c>
      <c r="X6" s="0" t="s">
        <v>638</v>
      </c>
      <c r="Y6" s="0"/>
      <c r="Z6" s="5" t="s">
        <f>=Z5*(ABS(Z4)-ABS(Z3))</f>
      </c>
      <c r="AA6" s="0" t="s">
        <v>640</v>
      </c>
      <c r="AB6" s="0"/>
      <c r="AC6" s="6" t="n">
        <v>7</v>
      </c>
      <c r="AD6" s="0" t="s">
        <v>639</v>
      </c>
      <c r="AE6" s="0"/>
      <c r="AF6" s="6" t="n">
        <v>200</v>
      </c>
      <c r="AG6" s="0" t="s">
        <v>639</v>
      </c>
      <c r="AH6" s="0"/>
      <c r="AI6" s="5" t="s">
        <f>=AI5*(ABS(AI4)-ABS(AI3))</f>
      </c>
      <c r="AJ6" s="0" t="s">
        <v>640</v>
      </c>
      <c r="AK6" s="0"/>
      <c r="AL6" s="6" t="n">
        <v>6000</v>
      </c>
      <c r="AM6" s="0" t="s">
        <v>639</v>
      </c>
      <c r="AN6" s="0"/>
      <c r="AO6" s="5" t="s">
        <f>=AO5*(ABS(AO4)-ABS(AO3))</f>
      </c>
      <c r="AP6" s="0" t="s">
        <v>640</v>
      </c>
      <c r="AQ6" s="0"/>
      <c r="AR6" s="6" t="n">
        <v>200</v>
      </c>
      <c r="AS6" s="0" t="s">
        <v>639</v>
      </c>
      <c r="AT6" s="0"/>
      <c r="AU6" s="5" t="s">
        <f>=AU5*(ABS(AU4)-ABS(AU3))</f>
      </c>
      <c r="AV6" s="0" t="s">
        <v>640</v>
      </c>
      <c r="AW6" s="0"/>
      <c r="AX6" s="5" t="s">
        <f>=AX5*(ABS(AX4)-ABS(AX3))</f>
      </c>
      <c r="AY6" s="0" t="s">
        <v>640</v>
      </c>
      <c r="AZ6" s="0"/>
      <c r="BA6" s="5" t="s">
        <f>=BA5*(ABS(BA4)-ABS(BA3))</f>
      </c>
      <c r="BB6" s="0" t="s">
        <v>640</v>
      </c>
      <c r="BC6" s="0"/>
      <c r="BD6" s="6" t="n">
        <v>20</v>
      </c>
      <c r="BE6" s="0" t="s">
        <v>639</v>
      </c>
      <c r="BF6" s="0"/>
      <c r="BG6" s="6" t="n">
        <v>598</v>
      </c>
      <c r="BH6" s="0" t="s">
        <v>638</v>
      </c>
      <c r="BI6" s="0"/>
      <c r="BJ6" s="5" t="s">
        <f>=SUM(BK2:BK5)/SUM(BJ2:BJ5)</f>
      </c>
      <c r="BK6" s="0" t="s">
        <v>11</v>
      </c>
      <c r="BL6" s="0"/>
      <c r="BM6" s="5" t="s">
        <f>=BM5*(ABS(BM4)-ABS(BM3))</f>
      </c>
      <c r="BN6" s="0" t="s">
        <v>640</v>
      </c>
      <c r="BO6" s="0"/>
      <c r="BP6" s="6" t="n">
        <v>10</v>
      </c>
      <c r="BQ6" s="0" t="s">
        <v>639</v>
      </c>
      <c r="BR6" s="0"/>
      <c r="BS6" s="5" t="s">
        <f>=BS5*(ABS(BS4)-ABS(BS3))</f>
      </c>
      <c r="BT6" s="0" t="s">
        <v>640</v>
      </c>
      <c r="BU6" s="0"/>
      <c r="BV6" s="5" t="s">
        <f>=BV5*(ABS(BV4)-ABS(BV3))</f>
      </c>
      <c r="BW6" s="0" t="s">
        <v>640</v>
      </c>
      <c r="BX6" s="0"/>
      <c r="BY6" s="5" t="s">
        <f>=BY5*(ABS(BY4)-ABS(BY3))</f>
      </c>
      <c r="BZ6" s="0" t="s">
        <v>640</v>
      </c>
      <c r="CA6" s="0"/>
      <c r="CB6" s="5" t="s">
        <f>=CB5*(ABS(CB4)-ABS(CB3))</f>
      </c>
      <c r="CC6" s="0" t="s">
        <v>640</v>
      </c>
      <c r="CD6" s="0"/>
      <c r="CE6" s="5" t="s">
        <f>=SUM(CF2:CF5)/SUM(CE2:CE5)</f>
      </c>
      <c r="CF6" s="0" t="s">
        <v>11</v>
      </c>
      <c r="CG6" s="0"/>
      <c r="CH6" s="5" t="s">
        <f>=CH5*(ABS(CH4)-ABS(CH3))</f>
      </c>
      <c r="CI6" s="0" t="s">
        <v>640</v>
      </c>
      <c r="CJ6" s="0"/>
      <c r="CK6" s="5" t="s">
        <f>=CK5*(ABS(CK4)-ABS(CK3))</f>
      </c>
      <c r="CL6" s="0" t="s">
        <v>640</v>
      </c>
      <c r="CM6" s="0"/>
      <c r="CN6" s="5" t="s">
        <f>=CN5*(ABS(CN4)-ABS(CN3))</f>
      </c>
      <c r="CO6" s="0" t="s">
        <v>640</v>
      </c>
      <c r="CP6" s="0"/>
      <c r="CQ6" s="5" t="s">
        <f>=CQ5*(ABS(CQ4)-ABS(CQ3))</f>
      </c>
      <c r="CR6" s="0" t="s">
        <v>640</v>
      </c>
      <c r="CS6" s="0"/>
      <c r="CT6" s="5" t="s">
        <f>=CT5*(ABS(CT4)-ABS(CT3))</f>
      </c>
      <c r="CU6" s="0" t="s">
        <v>640</v>
      </c>
      <c r="CV6" s="0"/>
      <c r="CW6" s="5" t="s">
        <f>=CW5*(ABS(CW4)-ABS(CW3))</f>
      </c>
      <c r="CX6" s="0" t="s">
        <v>640</v>
      </c>
      <c r="CY6" s="0"/>
      <c r="CZ6" s="6" t="n">
        <v>20</v>
      </c>
      <c r="DA6" s="0" t="s">
        <v>639</v>
      </c>
      <c r="DB6" s="0"/>
      <c r="DC6" s="5" t="s">
        <f>=DC5*(ABS(DC4)-ABS(DC3))</f>
      </c>
      <c r="DD6" s="0" t="s">
        <v>640</v>
      </c>
      <c r="DE6" s="0"/>
      <c r="DF6" s="5" t="s">
        <f>=DF5*(ABS(DF4)-ABS(DF3))</f>
      </c>
      <c r="DG6" s="0" t="s">
        <v>640</v>
      </c>
      <c r="DH6" s="0"/>
      <c r="DI6" s="6" t="n">
        <v>20</v>
      </c>
      <c r="DJ6" s="0" t="s">
        <v>639</v>
      </c>
      <c r="DK6" s="0"/>
      <c r="DL6" s="5" t="s">
        <f>=DL5*(ABS(DL4)-ABS(DL3))</f>
      </c>
      <c r="DM6" s="0" t="s">
        <v>640</v>
      </c>
      <c r="DN6" s="0"/>
      <c r="DO6" s="5" t="s">
        <f>=DO5*(ABS(DO4)-ABS(DO3))</f>
      </c>
      <c r="DP6" s="0" t="s">
        <v>640</v>
      </c>
      <c r="DQ6" s="0"/>
      <c r="DR6" s="5" t="s">
        <f>=DR5*(ABS(DR4)-ABS(DR3))</f>
      </c>
      <c r="DS6" s="0" t="s">
        <v>640</v>
      </c>
      <c r="DT6" s="0"/>
      <c r="DU6" s="6" t="n">
        <v>3</v>
      </c>
      <c r="DV6" s="0" t="s">
        <v>639</v>
      </c>
      <c r="DW6" s="0"/>
      <c r="DX6" s="5" t="s">
        <f>=DX5*(ABS(DX4)-ABS(DX3))</f>
      </c>
      <c r="DY6" s="0" t="s">
        <v>640</v>
      </c>
      <c r="DZ6" s="0"/>
      <c r="EA6" s="5" t="s">
        <f>=EA5*(ABS(EA4)-ABS(EA3))</f>
      </c>
      <c r="EB6" s="0" t="s">
        <v>640</v>
      </c>
      <c r="EC6" s="11" t="n">
        <v>45698</v>
      </c>
      <c r="ED6" s="6" t="n">
        <v>2</v>
      </c>
      <c r="EE6" s="6" t="n">
        <v>297.44</v>
      </c>
      <c r="EF6" s="11" t="n">
        <v>45506</v>
      </c>
      <c r="EG6" s="6" t="n">
        <v>3</v>
      </c>
      <c r="EH6" s="6" t="n">
        <v>429.01</v>
      </c>
      <c r="EI6" s="11" t="n">
        <v>45454</v>
      </c>
      <c r="EJ6" s="6" t="n">
        <v>6000</v>
      </c>
      <c r="EK6" s="6" t="n">
        <v>10069.82</v>
      </c>
      <c r="EL6" s="11" t="n">
        <v>45622</v>
      </c>
      <c r="EM6" s="6" t="n">
        <v>60</v>
      </c>
      <c r="EN6" s="6" t="n">
        <v>7073.12</v>
      </c>
      <c r="EO6" s="11" t="n">
        <v>45901</v>
      </c>
      <c r="EP6" s="6" t="n">
        <v>450</v>
      </c>
      <c r="EQ6" s="6" t="n">
        <v>803.66</v>
      </c>
      <c r="ER6" s="11" t="n">
        <v>45461</v>
      </c>
      <c r="ES6" s="6" t="n">
        <v>1</v>
      </c>
      <c r="ET6" s="6" t="n">
        <v>533.02</v>
      </c>
      <c r="EU6" s="0"/>
      <c r="EV6" s="5" t="s">
        <f>=SUM(EW2:EW5)/SUM(EV2:EV5)</f>
      </c>
      <c r="EW6" s="0" t="s">
        <v>11</v>
      </c>
      <c r="EX6" s="0"/>
      <c r="EY6" s="6" t="n">
        <v>77.59</v>
      </c>
      <c r="EZ6" s="0" t="s">
        <v>638</v>
      </c>
      <c r="FA6" s="0"/>
      <c r="FB6" s="6" t="n">
        <v>89.305</v>
      </c>
      <c r="FC6" s="0" t="s">
        <v>638</v>
      </c>
      <c r="FD6" s="0"/>
      <c r="FE6" s="6" t="n">
        <v>73.731</v>
      </c>
      <c r="FF6" s="0" t="s">
        <v>638</v>
      </c>
      <c r="FG6" s="0"/>
      <c r="FH6" s="6" t="n">
        <v>34</v>
      </c>
      <c r="FI6" s="0" t="s">
        <v>639</v>
      </c>
      <c r="FJ6" s="0"/>
      <c r="FK6" s="6" t="n">
        <v>93.87</v>
      </c>
      <c r="FL6" s="0" t="s">
        <v>638</v>
      </c>
      <c r="FM6" s="11" t="n">
        <v>45429</v>
      </c>
      <c r="FN6" s="6" t="n">
        <v>3</v>
      </c>
      <c r="FO6" s="6" t="n">
        <v>2200.64</v>
      </c>
      <c r="FP6" s="0"/>
      <c r="FQ6" s="6" t="n">
        <v>34</v>
      </c>
      <c r="FR6" s="0" t="s">
        <v>639</v>
      </c>
      <c r="FS6" s="0"/>
      <c r="FT6" s="6" t="s">
        <f>=Портфель!G62*Портфель!$Q$13</f>
      </c>
      <c r="FU6" s="0" t="s">
        <v>6</v>
      </c>
      <c r="FV6" s="0"/>
      <c r="FW6" s="6" t="s">
        <f>=Портфель!G63*Портфель!$Q$13</f>
      </c>
      <c r="FX6" s="0" t="s">
        <v>6</v>
      </c>
      <c r="FY6" s="0"/>
      <c r="FZ6" s="6" t="n">
        <v>19</v>
      </c>
      <c r="GA6" s="0" t="s">
        <v>639</v>
      </c>
      <c r="GB6" s="0"/>
      <c r="GC6" s="6" t="n">
        <v>81.55</v>
      </c>
      <c r="GD6" s="0" t="s">
        <v>638</v>
      </c>
      <c r="GE6" s="0"/>
      <c r="GF6" s="6" t="n">
        <v>15</v>
      </c>
      <c r="GG6" s="0" t="s">
        <v>639</v>
      </c>
      <c r="GH6" s="0"/>
      <c r="GI6" s="6" t="s">
        <f>=Портфель!G67*Портфель!$Q$13</f>
      </c>
      <c r="GJ6" s="0" t="s">
        <v>6</v>
      </c>
      <c r="GK6" s="0"/>
      <c r="GL6" s="6" t="n">
        <v>12</v>
      </c>
      <c r="GM6" s="0" t="s">
        <v>639</v>
      </c>
      <c r="GN6" s="0"/>
      <c r="GO6" s="6" t="s">
        <f>=Портфель!G69*Портфель!$Q$13</f>
      </c>
      <c r="GP6" s="0" t="s">
        <v>6</v>
      </c>
      <c r="GQ6" s="0"/>
      <c r="GR6" s="6" t="n">
        <v>88.87</v>
      </c>
      <c r="GS6" s="0" t="s">
        <v>638</v>
      </c>
      <c r="GT6" s="0"/>
      <c r="GU6" s="6" t="s">
        <f>=Портфель!G71*Портфель!$Q$13</f>
      </c>
      <c r="GV6" s="0" t="s">
        <v>6</v>
      </c>
      <c r="GW6" s="0"/>
      <c r="GX6" s="6" t="n">
        <v>10</v>
      </c>
      <c r="GY6" s="0" t="s">
        <v>639</v>
      </c>
      <c r="GZ6" s="0"/>
      <c r="HA6" s="6" t="s">
        <f>=Портфель!G73*Портфель!$Q$13</f>
      </c>
      <c r="HB6" s="0" t="s">
        <v>6</v>
      </c>
      <c r="HC6" s="0"/>
      <c r="HD6" s="6" t="s">
        <f>=Портфель!G74*Портфель!$Q$13</f>
      </c>
      <c r="HE6" s="0" t="s">
        <v>6</v>
      </c>
      <c r="HF6" s="0"/>
      <c r="HG6" s="6" t="n">
        <v>96.46</v>
      </c>
      <c r="HH6" s="0" t="s">
        <v>638</v>
      </c>
      <c r="HI6" s="0"/>
      <c r="HJ6" s="6" t="n">
        <v>5</v>
      </c>
      <c r="HK6" s="0" t="s">
        <v>639</v>
      </c>
      <c r="HL6" s="0"/>
      <c r="HM6" s="6" t="n">
        <v>4</v>
      </c>
      <c r="HN6" s="0" t="s">
        <v>639</v>
      </c>
      <c r="HO6" s="0"/>
      <c r="HP6" s="6" t="n">
        <v>4</v>
      </c>
      <c r="HQ6" s="0" t="s">
        <v>639</v>
      </c>
      <c r="HR6" s="0"/>
      <c r="HS6" s="6" t="s">
        <f>=Портфель!G79*Портфель!$Q$13</f>
      </c>
      <c r="HT6" s="0" t="s">
        <v>6</v>
      </c>
      <c r="HU6" s="0"/>
      <c r="HV6" s="6" t="s">
        <f>=Портфель!G80*Портфель!$Q$13</f>
      </c>
      <c r="HW6" s="0" t="s">
        <v>6</v>
      </c>
      <c r="HX6" s="0"/>
      <c r="HY6" s="6" t="s">
        <f>=Портфель!G81*Портфель!$Q$13</f>
      </c>
      <c r="HZ6" s="0" t="s">
        <v>6</v>
      </c>
      <c r="IA6" s="0"/>
      <c r="IB6" s="6" t="s">
        <f>=Портфель!G82*Портфель!$Q$13</f>
      </c>
      <c r="IC6" s="0" t="s">
        <v>6</v>
      </c>
      <c r="ID6" s="0"/>
      <c r="IE6" s="6" t="s">
        <f>=Портфель!G83*Портфель!$Q$13</f>
      </c>
      <c r="IF6" s="0" t="s">
        <v>6</v>
      </c>
      <c r="IG6" s="0"/>
      <c r="IH6" s="6" t="s">
        <f>=Портфель!G84*Портфель!$Q$13</f>
      </c>
      <c r="II6" s="0" t="s">
        <v>6</v>
      </c>
      <c r="IJ6" s="0"/>
      <c r="IK6" s="6" t="s">
        <f>=Портфель!G85*Портфель!$Q$13</f>
      </c>
      <c r="IL6" s="0" t="s">
        <v>6</v>
      </c>
      <c r="IM6" s="0"/>
      <c r="IN6" s="6" t="s">
        <f>=Портфель!G86*Портфель!$Q$13</f>
      </c>
      <c r="IO6" s="0" t="s">
        <v>6</v>
      </c>
      <c r="IP6" s="0"/>
      <c r="IQ6" s="6" t="s">
        <f>=Портфель!G87*Портфель!$Q$13</f>
      </c>
      <c r="IR6" s="0" t="s">
        <v>6</v>
      </c>
      <c r="IS6" s="0"/>
      <c r="IT6" s="6" t="s">
        <f>=Портфель!G88*Портфель!$Q$13</f>
      </c>
      <c r="IU6" s="0" t="s">
        <v>6</v>
      </c>
    </row>
    <row collapsed="false" customFormat="false" customHeight="false" hidden="false" ht="12.1" outlineLevel="0" r="7">
      <c r="A7" s="11" t="n">
        <v>45623</v>
      </c>
      <c r="B7" s="6" t="n">
        <v>4</v>
      </c>
      <c r="C7" s="6" t="n">
        <v>1873.1</v>
      </c>
      <c r="D7" s="0"/>
      <c r="E7" s="5" t="s">
        <f>=E6*(ABS(E5)-ABS(E4))</f>
      </c>
      <c r="F7" s="0" t="s">
        <v>640</v>
      </c>
      <c r="G7" s="0"/>
      <c r="H7" s="5" t="s">
        <f>=H6*(ABS(H5)-ABS(H4))</f>
      </c>
      <c r="I7" s="0" t="s">
        <v>640</v>
      </c>
      <c r="J7" s="0"/>
      <c r="K7" s="5" t="s">
        <f>=K6*(ABS(K5)-ABS(K4))</f>
      </c>
      <c r="L7" s="0" t="s">
        <v>640</v>
      </c>
      <c r="M7" s="0"/>
      <c r="N7" s="5" t="s">
        <f>=N6*(ABS(N5)-ABS(N4))</f>
      </c>
      <c r="O7" s="0" t="s">
        <v>640</v>
      </c>
      <c r="P7" s="0"/>
      <c r="Q7" s="0"/>
      <c r="R7" s="0"/>
      <c r="S7" s="0"/>
      <c r="T7" s="0"/>
      <c r="U7" s="0"/>
      <c r="V7" s="0"/>
      <c r="W7" s="6" t="n">
        <v>12</v>
      </c>
      <c r="X7" s="0" t="s">
        <v>639</v>
      </c>
      <c r="Y7" s="0"/>
      <c r="Z7" s="0"/>
      <c r="AA7" s="0"/>
      <c r="AB7" s="0"/>
      <c r="AC7" s="5" t="s">
        <f>=AC6*(ABS(AC5)-ABS(AC4))</f>
      </c>
      <c r="AD7" s="0" t="s">
        <v>640</v>
      </c>
      <c r="AE7" s="0"/>
      <c r="AF7" s="5" t="s">
        <f>=AF6*(ABS(AF5)-ABS(AF4))</f>
      </c>
      <c r="AG7" s="0" t="s">
        <v>640</v>
      </c>
      <c r="AH7" s="0"/>
      <c r="AI7" s="0"/>
      <c r="AJ7" s="0"/>
      <c r="AK7" s="0"/>
      <c r="AL7" s="5" t="s">
        <f>=AL6*(ABS(AL5)-ABS(AL4))</f>
      </c>
      <c r="AM7" s="0" t="s">
        <v>640</v>
      </c>
      <c r="AN7" s="0"/>
      <c r="AO7" s="0"/>
      <c r="AP7" s="0"/>
      <c r="AQ7" s="0"/>
      <c r="AR7" s="5" t="s">
        <f>=AR6*(ABS(AR5)-ABS(AR4))</f>
      </c>
      <c r="AS7" s="0" t="s">
        <v>640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640</v>
      </c>
      <c r="BF7" s="0"/>
      <c r="BG7" s="6" t="n">
        <v>4</v>
      </c>
      <c r="BH7" s="0" t="s">
        <v>639</v>
      </c>
      <c r="BI7" s="0"/>
      <c r="BJ7" s="6" t="n">
        <v>47.25</v>
      </c>
      <c r="BK7" s="0" t="s">
        <v>638</v>
      </c>
      <c r="BL7" s="0"/>
      <c r="BM7" s="0"/>
      <c r="BN7" s="0"/>
      <c r="BO7" s="0"/>
      <c r="BP7" s="5" t="s">
        <f>=BP6*(ABS(BP5)-ABS(BP4))</f>
      </c>
      <c r="BQ7" s="0" t="s">
        <v>640</v>
      </c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6" t="n">
        <v>3.191</v>
      </c>
      <c r="CF7" s="0" t="s">
        <v>638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5" t="s">
        <f>=CZ6*(ABS(CZ5)-ABS(CZ4))</f>
      </c>
      <c r="DA7" s="0" t="s">
        <v>640</v>
      </c>
      <c r="DB7" s="0"/>
      <c r="DC7" s="0"/>
      <c r="DD7" s="0"/>
      <c r="DE7" s="0"/>
      <c r="DF7" s="0"/>
      <c r="DG7" s="0"/>
      <c r="DH7" s="0"/>
      <c r="DI7" s="5" t="s">
        <f>=DI6*(ABS(DI5)-ABS(DI4))</f>
      </c>
      <c r="DJ7" s="0" t="s">
        <v>640</v>
      </c>
      <c r="DK7" s="0"/>
      <c r="DL7" s="0"/>
      <c r="DM7" s="0"/>
      <c r="DN7" s="0"/>
      <c r="DO7" s="0"/>
      <c r="DP7" s="0"/>
      <c r="DQ7" s="0"/>
      <c r="DR7" s="0"/>
      <c r="DS7" s="0"/>
      <c r="DT7" s="0"/>
      <c r="DU7" s="5" t="s">
        <f>=DU6*(ABS(DU5)-ABS(DU4))</f>
      </c>
      <c r="DV7" s="0" t="s">
        <v>640</v>
      </c>
      <c r="DW7" s="0"/>
      <c r="DX7" s="0"/>
      <c r="DY7" s="0"/>
      <c r="DZ7" s="0"/>
      <c r="EA7" s="0"/>
      <c r="EB7" s="0"/>
      <c r="EC7" s="11" t="n">
        <v>45783</v>
      </c>
      <c r="ED7" s="6" t="n">
        <v>2</v>
      </c>
      <c r="EE7" s="6" t="n">
        <v>252.08</v>
      </c>
      <c r="EF7" s="11" t="n">
        <v>45509</v>
      </c>
      <c r="EG7" s="6" t="n">
        <v>1</v>
      </c>
      <c r="EH7" s="6" t="n">
        <v>143.52</v>
      </c>
      <c r="EI7" s="11" t="n">
        <v>45742</v>
      </c>
      <c r="EJ7" s="6" t="n">
        <v>320</v>
      </c>
      <c r="EK7" s="6" t="n">
        <v>668.05</v>
      </c>
      <c r="EL7" s="11" t="n">
        <v>45636</v>
      </c>
      <c r="EM7" s="6" t="n">
        <v>4</v>
      </c>
      <c r="EN7" s="6" t="n">
        <v>479.54</v>
      </c>
      <c r="EO7" s="11" t="n">
        <v>45902</v>
      </c>
      <c r="EP7" s="6" t="n">
        <v>160</v>
      </c>
      <c r="EQ7" s="6" t="n">
        <v>285.89</v>
      </c>
      <c r="ER7" s="11" t="n">
        <v>45462</v>
      </c>
      <c r="ES7" s="6" t="n">
        <v>30</v>
      </c>
      <c r="ET7" s="6" t="n">
        <v>15854.46</v>
      </c>
      <c r="EU7" s="0"/>
      <c r="EV7" s="6" t="n">
        <v>64.5</v>
      </c>
      <c r="EW7" s="0" t="s">
        <v>638</v>
      </c>
      <c r="EX7" s="0"/>
      <c r="EY7" s="6" t="n">
        <v>53</v>
      </c>
      <c r="EZ7" s="0" t="s">
        <v>639</v>
      </c>
      <c r="FA7" s="0"/>
      <c r="FB7" s="6" t="n">
        <v>40</v>
      </c>
      <c r="FC7" s="0" t="s">
        <v>639</v>
      </c>
      <c r="FD7" s="0"/>
      <c r="FE7" s="6" t="n">
        <v>45</v>
      </c>
      <c r="FF7" s="0" t="s">
        <v>639</v>
      </c>
      <c r="FG7" s="0"/>
      <c r="FH7" s="6" t="s">
        <f>=Портфель!G58*Портфель!$Q$13</f>
      </c>
      <c r="FI7" s="0" t="s">
        <v>6</v>
      </c>
      <c r="FJ7" s="0"/>
      <c r="FK7" s="6" t="n">
        <v>31</v>
      </c>
      <c r="FL7" s="0" t="s">
        <v>639</v>
      </c>
      <c r="FM7" s="0"/>
      <c r="FN7" s="5" t="s">
        <f>=SUM(FO2:FO6)/SUM(FN2:FN6)</f>
      </c>
      <c r="FO7" s="0" t="s">
        <v>11</v>
      </c>
      <c r="FP7" s="0"/>
      <c r="FQ7" s="6" t="s">
        <f>=Портфель!G61*Портфель!$Q$13</f>
      </c>
      <c r="FR7" s="0" t="s">
        <v>6</v>
      </c>
      <c r="FS7" s="0"/>
      <c r="FT7" s="6" t="s">
        <f>=Портфель!H62*Портфель!$Q$13</f>
      </c>
      <c r="FU7" s="0" t="s">
        <v>7</v>
      </c>
      <c r="FV7" s="0"/>
      <c r="FW7" s="6" t="s">
        <f>=Портфель!H63*Портфель!$Q$13</f>
      </c>
      <c r="FX7" s="0" t="s">
        <v>7</v>
      </c>
      <c r="FY7" s="0"/>
      <c r="FZ7" s="6" t="s">
        <f>=Портфель!G64*Портфель!$Q$13</f>
      </c>
      <c r="GA7" s="0" t="s">
        <v>6</v>
      </c>
      <c r="GB7" s="0"/>
      <c r="GC7" s="6" t="n">
        <v>20</v>
      </c>
      <c r="GD7" s="0" t="s">
        <v>639</v>
      </c>
      <c r="GE7" s="0"/>
      <c r="GF7" s="6" t="s">
        <f>=Портфель!G66*Портфель!$Q$13</f>
      </c>
      <c r="GG7" s="0" t="s">
        <v>6</v>
      </c>
      <c r="GH7" s="0"/>
      <c r="GI7" s="6" t="s">
        <f>=Портфель!H67*Портфель!$Q$13</f>
      </c>
      <c r="GJ7" s="0" t="s">
        <v>7</v>
      </c>
      <c r="GK7" s="0"/>
      <c r="GL7" s="6" t="s">
        <f>=Портфель!G68*Портфель!$Q$13</f>
      </c>
      <c r="GM7" s="0" t="s">
        <v>6</v>
      </c>
      <c r="GN7" s="0"/>
      <c r="GO7" s="6" t="s">
        <f>=Портфель!H69*Портфель!$Q$13</f>
      </c>
      <c r="GP7" s="0" t="s">
        <v>7</v>
      </c>
      <c r="GQ7" s="0"/>
      <c r="GR7" s="6" t="n">
        <v>7</v>
      </c>
      <c r="GS7" s="0" t="s">
        <v>639</v>
      </c>
      <c r="GT7" s="0"/>
      <c r="GU7" s="6" t="s">
        <f>=Портфель!H71*Портфель!$Q$13</f>
      </c>
      <c r="GV7" s="0" t="s">
        <v>7</v>
      </c>
      <c r="GW7" s="0"/>
      <c r="GX7" s="6" t="s">
        <f>=Портфель!G72*Портфель!$Q$13</f>
      </c>
      <c r="GY7" s="0" t="s">
        <v>6</v>
      </c>
      <c r="GZ7" s="0"/>
      <c r="HA7" s="6" t="s">
        <f>=Портфель!H73*Портфель!$Q$13</f>
      </c>
      <c r="HB7" s="0" t="s">
        <v>7</v>
      </c>
      <c r="HC7" s="0"/>
      <c r="HD7" s="6" t="s">
        <f>=Портфель!H74*Портфель!$Q$13</f>
      </c>
      <c r="HE7" s="0" t="s">
        <v>7</v>
      </c>
      <c r="HF7" s="0"/>
      <c r="HG7" s="6" t="n">
        <v>5</v>
      </c>
      <c r="HH7" s="0" t="s">
        <v>639</v>
      </c>
      <c r="HI7" s="0"/>
      <c r="HJ7" s="6" t="s">
        <f>=Портфель!G76*Портфель!$Q$13</f>
      </c>
      <c r="HK7" s="0" t="s">
        <v>6</v>
      </c>
      <c r="HL7" s="0"/>
      <c r="HM7" s="6" t="s">
        <f>=Портфель!G77*Портфель!$Q$13</f>
      </c>
      <c r="HN7" s="0" t="s">
        <v>6</v>
      </c>
      <c r="HO7" s="0"/>
      <c r="HP7" s="6" t="s">
        <f>=Портфель!G78*Портфель!$Q$13</f>
      </c>
      <c r="HQ7" s="0" t="s">
        <v>6</v>
      </c>
      <c r="HR7" s="0"/>
      <c r="HS7" s="6" t="s">
        <f>=Портфель!H79*Портфель!$Q$13</f>
      </c>
      <c r="HT7" s="0" t="s">
        <v>7</v>
      </c>
      <c r="HU7" s="0"/>
      <c r="HV7" s="6" t="s">
        <f>=Портфель!H80*Портфель!$Q$13</f>
      </c>
      <c r="HW7" s="0" t="s">
        <v>7</v>
      </c>
      <c r="HX7" s="0"/>
      <c r="HY7" s="6" t="s">
        <f>=Портфель!H81*Портфель!$Q$13</f>
      </c>
      <c r="HZ7" s="0" t="s">
        <v>7</v>
      </c>
      <c r="IA7" s="0"/>
      <c r="IB7" s="6" t="s">
        <f>=Портфель!H82*Портфель!$Q$13</f>
      </c>
      <c r="IC7" s="0" t="s">
        <v>7</v>
      </c>
      <c r="ID7" s="0"/>
      <c r="IE7" s="6" t="s">
        <f>=Портфель!H83*Портфель!$Q$13</f>
      </c>
      <c r="IF7" s="0" t="s">
        <v>7</v>
      </c>
      <c r="IG7" s="0"/>
      <c r="IH7" s="6" t="s">
        <f>=Портфель!H84*Портфель!$Q$13</f>
      </c>
      <c r="II7" s="0" t="s">
        <v>7</v>
      </c>
      <c r="IJ7" s="0"/>
      <c r="IK7" s="6" t="s">
        <f>=Портфель!H85*Портфель!$Q$13</f>
      </c>
      <c r="IL7" s="0" t="s">
        <v>7</v>
      </c>
      <c r="IM7" s="0"/>
      <c r="IN7" s="6" t="s">
        <f>=Портфель!H86*Портфель!$Q$13</f>
      </c>
      <c r="IO7" s="0" t="s">
        <v>7</v>
      </c>
      <c r="IP7" s="0"/>
      <c r="IQ7" s="6" t="s">
        <f>=Портфель!H87*Портфель!$Q$13</f>
      </c>
      <c r="IR7" s="0" t="s">
        <v>7</v>
      </c>
      <c r="IS7" s="0"/>
      <c r="IT7" s="6" t="s">
        <f>=Портфель!H88*Портфель!$Q$13</f>
      </c>
      <c r="IU7" s="0" t="s">
        <v>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640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640</v>
      </c>
      <c r="BI8" s="0"/>
      <c r="BJ8" s="6" t="n">
        <v>40</v>
      </c>
      <c r="BK8" s="0" t="s">
        <v>639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6" t="n">
        <v>400</v>
      </c>
      <c r="CF8" s="0" t="s">
        <v>639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11" t="n">
        <v>45789</v>
      </c>
      <c r="ED8" s="6" t="n">
        <v>2</v>
      </c>
      <c r="EE8" s="6" t="n">
        <v>252.3</v>
      </c>
      <c r="EF8" s="11" t="n">
        <v>45526</v>
      </c>
      <c r="EG8" s="6" t="n">
        <v>4</v>
      </c>
      <c r="EH8" s="6" t="n">
        <v>575.61</v>
      </c>
      <c r="EI8" s="11" t="n">
        <v>45757</v>
      </c>
      <c r="EJ8" s="6" t="n">
        <v>1100</v>
      </c>
      <c r="EK8" s="6" t="n">
        <v>2398.17</v>
      </c>
      <c r="EL8" s="0"/>
      <c r="EM8" s="5" t="s">
        <f>=SUM(EN2:EN7)/SUM(EM2:EM7)</f>
      </c>
      <c r="EN8" s="0" t="s">
        <v>11</v>
      </c>
      <c r="EO8" s="0"/>
      <c r="EP8" s="5" t="s">
        <f>=SUM(EQ2:EQ7)/SUM(EP2:EP7)</f>
      </c>
      <c r="EQ8" s="0" t="s">
        <v>11</v>
      </c>
      <c r="ER8" s="0"/>
      <c r="ES8" s="5" t="s">
        <f>=SUM(ET2:ET7)/SUM(ES2:ES7)</f>
      </c>
      <c r="ET8" s="0" t="s">
        <v>11</v>
      </c>
      <c r="EU8" s="0"/>
      <c r="EV8" s="6" t="n">
        <v>80</v>
      </c>
      <c r="EW8" s="0" t="s">
        <v>639</v>
      </c>
      <c r="EX8" s="0"/>
      <c r="EY8" s="6" t="s">
        <f>=Портфель!G55*Портфель!$Q$13</f>
      </c>
      <c r="EZ8" s="0" t="s">
        <v>6</v>
      </c>
      <c r="FA8" s="0"/>
      <c r="FB8" s="6" t="s">
        <f>=Портфель!G56*Портфель!$Q$13</f>
      </c>
      <c r="FC8" s="0" t="s">
        <v>6</v>
      </c>
      <c r="FD8" s="0"/>
      <c r="FE8" s="6" t="s">
        <f>=Портфель!G57*Портфель!$Q$13</f>
      </c>
      <c r="FF8" s="0" t="s">
        <v>6</v>
      </c>
      <c r="FG8" s="0"/>
      <c r="FH8" s="6" t="s">
        <f>=Портфель!H58*Портфель!$Q$13</f>
      </c>
      <c r="FI8" s="0" t="s">
        <v>7</v>
      </c>
      <c r="FJ8" s="0"/>
      <c r="FK8" s="6" t="s">
        <f>=Портфель!G59*Портфель!$Q$13</f>
      </c>
      <c r="FL8" s="0" t="s">
        <v>6</v>
      </c>
      <c r="FM8" s="0"/>
      <c r="FN8" s="6" t="n">
        <v>82.598</v>
      </c>
      <c r="FO8" s="0" t="s">
        <v>638</v>
      </c>
      <c r="FP8" s="0"/>
      <c r="FQ8" s="6" t="s">
        <f>=Портфель!H61*Портфель!$Q$13</f>
      </c>
      <c r="FR8" s="0" t="s">
        <v>7</v>
      </c>
      <c r="FS8" s="0"/>
      <c r="FT8" s="5" t="s">
        <f>=FT5*(FT6*FT4/100-FT3+FT7)</f>
      </c>
      <c r="FU8" s="0" t="s">
        <v>640</v>
      </c>
      <c r="FV8" s="0"/>
      <c r="FW8" s="5" t="s">
        <f>=FW5*(FW6*FW4/100-FW3+FW7)</f>
      </c>
      <c r="FX8" s="0" t="s">
        <v>640</v>
      </c>
      <c r="FY8" s="0"/>
      <c r="FZ8" s="6" t="s">
        <f>=Портфель!H64*Портфель!$Q$13</f>
      </c>
      <c r="GA8" s="0" t="s">
        <v>7</v>
      </c>
      <c r="GB8" s="0"/>
      <c r="GC8" s="6" t="s">
        <f>=Портфель!G65*Портфель!$Q$13</f>
      </c>
      <c r="GD8" s="0" t="s">
        <v>6</v>
      </c>
      <c r="GE8" s="0"/>
      <c r="GF8" s="6" t="s">
        <f>=Портфель!H66*Портфель!$Q$13</f>
      </c>
      <c r="GG8" s="0" t="s">
        <v>7</v>
      </c>
      <c r="GH8" s="0"/>
      <c r="GI8" s="5" t="s">
        <f>=GI5*(GI6*GI4/100-GI3+GI7)</f>
      </c>
      <c r="GJ8" s="0" t="s">
        <v>640</v>
      </c>
      <c r="GK8" s="0"/>
      <c r="GL8" s="6" t="s">
        <f>=Портфель!H68*Портфель!$Q$13</f>
      </c>
      <c r="GM8" s="0" t="s">
        <v>7</v>
      </c>
      <c r="GN8" s="0"/>
      <c r="GO8" s="5" t="s">
        <f>=GO5*(GO6*GO4/100-GO3+GO7)</f>
      </c>
      <c r="GP8" s="0" t="s">
        <v>640</v>
      </c>
      <c r="GQ8" s="0"/>
      <c r="GR8" s="6" t="s">
        <f>=Портфель!G70*Портфель!$Q$13</f>
      </c>
      <c r="GS8" s="0" t="s">
        <v>6</v>
      </c>
      <c r="GT8" s="0"/>
      <c r="GU8" s="5" t="s">
        <f>=GU5*(GU6*GU4/100-GU3+GU7)</f>
      </c>
      <c r="GV8" s="0" t="s">
        <v>640</v>
      </c>
      <c r="GW8" s="0"/>
      <c r="GX8" s="6" t="s">
        <f>=Портфель!H72*Портфель!$Q$13</f>
      </c>
      <c r="GY8" s="0" t="s">
        <v>7</v>
      </c>
      <c r="GZ8" s="0"/>
      <c r="HA8" s="5" t="s">
        <f>=HA5*(HA6*HA4/100-HA3+HA7)</f>
      </c>
      <c r="HB8" s="0" t="s">
        <v>640</v>
      </c>
      <c r="HC8" s="0"/>
      <c r="HD8" s="5" t="s">
        <f>=HD5*(HD6*HD4/100-HD3+HD7)</f>
      </c>
      <c r="HE8" s="0" t="s">
        <v>640</v>
      </c>
      <c r="HF8" s="0"/>
      <c r="HG8" s="6" t="s">
        <f>=Портфель!G75*Портфель!$Q$13</f>
      </c>
      <c r="HH8" s="0" t="s">
        <v>6</v>
      </c>
      <c r="HI8" s="0"/>
      <c r="HJ8" s="6" t="s">
        <f>=Портфель!H76*Портфель!$Q$13</f>
      </c>
      <c r="HK8" s="0" t="s">
        <v>7</v>
      </c>
      <c r="HL8" s="0"/>
      <c r="HM8" s="6" t="s">
        <f>=Портфель!H77*Портфель!$Q$13</f>
      </c>
      <c r="HN8" s="0" t="s">
        <v>7</v>
      </c>
      <c r="HO8" s="0"/>
      <c r="HP8" s="6" t="s">
        <f>=Портфель!H78*Портфель!$Q$13</f>
      </c>
      <c r="HQ8" s="0" t="s">
        <v>7</v>
      </c>
      <c r="HR8" s="0"/>
      <c r="HS8" s="5" t="s">
        <f>=HS5*(HS6*HS4/100-HS3+HS7)</f>
      </c>
      <c r="HT8" s="0" t="s">
        <v>640</v>
      </c>
      <c r="HU8" s="0"/>
      <c r="HV8" s="5" t="s">
        <f>=HV5*(HV6*HV4/100-HV3+HV7)</f>
      </c>
      <c r="HW8" s="0" t="s">
        <v>640</v>
      </c>
      <c r="HX8" s="0"/>
      <c r="HY8" s="5" t="s">
        <f>=HY5*(HY6*HY4/100-HY3+HY7)</f>
      </c>
      <c r="HZ8" s="0" t="s">
        <v>640</v>
      </c>
      <c r="IA8" s="0"/>
      <c r="IB8" s="5" t="s">
        <f>=IB5*(IB6*IB4/100-IB3+IB7)</f>
      </c>
      <c r="IC8" s="0" t="s">
        <v>640</v>
      </c>
      <c r="ID8" s="0"/>
      <c r="IE8" s="5" t="s">
        <f>=IE5*(IE6*IE4/100-IE3+IE7)</f>
      </c>
      <c r="IF8" s="0" t="s">
        <v>640</v>
      </c>
      <c r="IG8" s="0"/>
      <c r="IH8" s="5" t="s">
        <f>=IH5*(IH6*IH4/100-IH3+IH7)</f>
      </c>
      <c r="II8" s="0" t="s">
        <v>640</v>
      </c>
      <c r="IJ8" s="0"/>
      <c r="IK8" s="5" t="s">
        <f>=IK5*(IK6*IK4/100-IK3+IK7)</f>
      </c>
      <c r="IL8" s="0" t="s">
        <v>640</v>
      </c>
      <c r="IM8" s="0"/>
      <c r="IN8" s="5" t="s">
        <f>=IN5*(IN6*IN4/100-IN3+IN7)</f>
      </c>
      <c r="IO8" s="0" t="s">
        <v>640</v>
      </c>
      <c r="IP8" s="0"/>
      <c r="IQ8" s="5" t="s">
        <f>=IQ5*(IQ6*IQ4/100-IQ3+IQ7)</f>
      </c>
      <c r="IR8" s="0" t="s">
        <v>640</v>
      </c>
      <c r="IS8" s="0"/>
      <c r="IT8" s="5" t="s">
        <f>=IT5*(IT6*IT4/100-IT3+IT7)</f>
      </c>
      <c r="IU8" s="0" t="s">
        <v>640</v>
      </c>
    </row>
    <row collapsed="false" customFormat="false" customHeight="false" hidden="false" ht="12.1" outlineLevel="0" r="9">
      <c r="A9" s="0"/>
      <c r="B9" s="6" t="n">
        <v>462.4</v>
      </c>
      <c r="C9" s="0" t="s">
        <v>638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5" t="s">
        <f>=BJ8*(ABS(BJ7)-ABS(BJ6))</f>
      </c>
      <c r="BK9" s="0" t="s">
        <v>640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5" t="s">
        <f>=CE8*(ABS(CE7)-ABS(CE6))</f>
      </c>
      <c r="CF9" s="0" t="s">
        <v>640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11" t="n">
        <v>45790</v>
      </c>
      <c r="ED9" s="6" t="n">
        <v>3</v>
      </c>
      <c r="EE9" s="6" t="n">
        <v>374.88</v>
      </c>
      <c r="EF9" s="11" t="n">
        <v>45537</v>
      </c>
      <c r="EG9" s="6" t="n">
        <v>1</v>
      </c>
      <c r="EH9" s="6" t="n">
        <v>143.2</v>
      </c>
      <c r="EI9" s="11" t="n">
        <v>45789</v>
      </c>
      <c r="EJ9" s="6" t="n">
        <v>35</v>
      </c>
      <c r="EK9" s="6" t="n">
        <v>75.01</v>
      </c>
      <c r="EL9" s="0"/>
      <c r="EM9" s="6" t="n">
        <v>147.6</v>
      </c>
      <c r="EN9" s="0" t="s">
        <v>638</v>
      </c>
      <c r="EO9" s="0"/>
      <c r="EP9" s="6" t="n">
        <v>1.7935</v>
      </c>
      <c r="EQ9" s="0" t="s">
        <v>638</v>
      </c>
      <c r="ER9" s="0"/>
      <c r="ES9" s="6" t="n">
        <v>60.724</v>
      </c>
      <c r="ET9" s="0" t="s">
        <v>638</v>
      </c>
      <c r="EU9" s="0"/>
      <c r="EV9" s="6" t="s">
        <f>=Портфель!G54*Портфель!$Q$13</f>
      </c>
      <c r="EW9" s="0" t="s">
        <v>6</v>
      </c>
      <c r="EX9" s="0"/>
      <c r="EY9" s="6" t="s">
        <f>=Портфель!H55*Портфель!$Q$13</f>
      </c>
      <c r="EZ9" s="0" t="s">
        <v>7</v>
      </c>
      <c r="FA9" s="0"/>
      <c r="FB9" s="6" t="s">
        <f>=Портфель!H56*Портфель!$Q$13</f>
      </c>
      <c r="FC9" s="0" t="s">
        <v>7</v>
      </c>
      <c r="FD9" s="0"/>
      <c r="FE9" s="6" t="s">
        <f>=Портфель!H57*Портфель!$Q$13</f>
      </c>
      <c r="FF9" s="0" t="s">
        <v>7</v>
      </c>
      <c r="FG9" s="0"/>
      <c r="FH9" s="5" t="s">
        <f>=FH6*(FH7*FH5/100-FH4+FH8)</f>
      </c>
      <c r="FI9" s="0" t="s">
        <v>640</v>
      </c>
      <c r="FJ9" s="0"/>
      <c r="FK9" s="6" t="s">
        <f>=Портфель!H59*Портфель!$Q$13</f>
      </c>
      <c r="FL9" s="0" t="s">
        <v>7</v>
      </c>
      <c r="FM9" s="0"/>
      <c r="FN9" s="6" t="n">
        <v>34</v>
      </c>
      <c r="FO9" s="0" t="s">
        <v>639</v>
      </c>
      <c r="FP9" s="0"/>
      <c r="FQ9" s="5" t="s">
        <f>=FQ6*(FQ7*FQ5/100-FQ4+FQ8)</f>
      </c>
      <c r="FR9" s="0" t="s">
        <v>640</v>
      </c>
      <c r="FS9" s="0"/>
      <c r="FT9" s="0"/>
      <c r="FU9" s="0"/>
      <c r="FV9" s="0"/>
      <c r="FW9" s="0"/>
      <c r="FX9" s="0"/>
      <c r="FY9" s="0"/>
      <c r="FZ9" s="5" t="s">
        <f>=FZ6*(FZ7*FZ5/100-FZ4+FZ8)</f>
      </c>
      <c r="GA9" s="0" t="s">
        <v>640</v>
      </c>
      <c r="GB9" s="0"/>
      <c r="GC9" s="6" t="s">
        <f>=Портфель!H65*Портфель!$Q$13</f>
      </c>
      <c r="GD9" s="0" t="s">
        <v>7</v>
      </c>
      <c r="GE9" s="0"/>
      <c r="GF9" s="5" t="s">
        <f>=GF6*(GF7*GF5/100-GF4+GF8)</f>
      </c>
      <c r="GG9" s="0" t="s">
        <v>640</v>
      </c>
      <c r="GH9" s="0"/>
      <c r="GI9" s="0"/>
      <c r="GJ9" s="0"/>
      <c r="GK9" s="0"/>
      <c r="GL9" s="5" t="s">
        <f>=GL6*(GL7*GL5/100-GL4+GL8)</f>
      </c>
      <c r="GM9" s="0" t="s">
        <v>640</v>
      </c>
      <c r="GN9" s="0"/>
      <c r="GO9" s="0"/>
      <c r="GP9" s="0"/>
      <c r="GQ9" s="0"/>
      <c r="GR9" s="6" t="s">
        <f>=Портфель!H70*Портфель!$Q$13</f>
      </c>
      <c r="GS9" s="0" t="s">
        <v>7</v>
      </c>
      <c r="GT9" s="0"/>
      <c r="GU9" s="0"/>
      <c r="GV9" s="0"/>
      <c r="GW9" s="0"/>
      <c r="GX9" s="5" t="s">
        <f>=GX6*(GX7*GX5/100-GX4+GX8)</f>
      </c>
      <c r="GY9" s="0" t="s">
        <v>640</v>
      </c>
      <c r="GZ9" s="0"/>
      <c r="HA9" s="0"/>
      <c r="HB9" s="0"/>
      <c r="HC9" s="0"/>
      <c r="HD9" s="0"/>
      <c r="HE9" s="0"/>
      <c r="HF9" s="0"/>
      <c r="HG9" s="6" t="s">
        <f>=Портфель!H75*Портфель!$Q$13</f>
      </c>
      <c r="HH9" s="0" t="s">
        <v>7</v>
      </c>
      <c r="HI9" s="0"/>
      <c r="HJ9" s="5" t="s">
        <f>=HJ6*(HJ7*HJ5/100-HJ4+HJ8)</f>
      </c>
      <c r="HK9" s="0" t="s">
        <v>640</v>
      </c>
      <c r="HL9" s="0"/>
      <c r="HM9" s="5" t="s">
        <f>=HM6*(HM7*HM5/100-HM4+HM8)</f>
      </c>
      <c r="HN9" s="0" t="s">
        <v>640</v>
      </c>
      <c r="HO9" s="0"/>
      <c r="HP9" s="5" t="s">
        <f>=HP6*(HP7*HP5/100-HP4+HP8)</f>
      </c>
      <c r="HQ9" s="0" t="s">
        <v>640</v>
      </c>
    </row>
    <row collapsed="false" customFormat="false" customHeight="false" hidden="false" ht="12.1" outlineLevel="0" r="10">
      <c r="A10" s="0"/>
      <c r="B10" s="6" t="n">
        <v>117</v>
      </c>
      <c r="C10" s="0" t="s">
        <v>639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5" t="s">
        <f>=SUM(EE2:EE9)/SUM(ED2:ED9)</f>
      </c>
      <c r="EE10" s="0" t="s">
        <v>11</v>
      </c>
      <c r="EF10" s="11" t="n">
        <v>45547</v>
      </c>
      <c r="EG10" s="6" t="n">
        <v>21</v>
      </c>
      <c r="EH10" s="6" t="n">
        <v>3020.71</v>
      </c>
      <c r="EI10" s="11" t="n">
        <v>45803</v>
      </c>
      <c r="EJ10" s="6" t="n">
        <v>19</v>
      </c>
      <c r="EK10" s="6" t="n">
        <v>40.71</v>
      </c>
      <c r="EL10" s="0"/>
      <c r="EM10" s="6" t="n">
        <v>135</v>
      </c>
      <c r="EN10" s="0" t="s">
        <v>639</v>
      </c>
      <c r="EO10" s="0"/>
      <c r="EP10" s="6" t="n">
        <v>8247</v>
      </c>
      <c r="EQ10" s="0" t="s">
        <v>639</v>
      </c>
      <c r="ER10" s="0"/>
      <c r="ES10" s="6" t="n">
        <v>88</v>
      </c>
      <c r="ET10" s="0" t="s">
        <v>639</v>
      </c>
      <c r="EU10" s="0"/>
      <c r="EV10" s="6" t="s">
        <f>=Портфель!H54*Портфель!$Q$13</f>
      </c>
      <c r="EW10" s="0" t="s">
        <v>7</v>
      </c>
      <c r="EX10" s="0"/>
      <c r="EY10" s="5" t="s">
        <f>=EY7*(EY8*EY6/100-EY5+EY9)</f>
      </c>
      <c r="EZ10" s="0" t="s">
        <v>640</v>
      </c>
      <c r="FA10" s="0"/>
      <c r="FB10" s="5" t="s">
        <f>=FB7*(FB8*FB6/100-FB5+FB9)</f>
      </c>
      <c r="FC10" s="0" t="s">
        <v>640</v>
      </c>
      <c r="FD10" s="0"/>
      <c r="FE10" s="5" t="s">
        <f>=FE7*(FE8*FE6/100-FE5+FE9)</f>
      </c>
      <c r="FF10" s="0" t="s">
        <v>640</v>
      </c>
      <c r="FG10" s="0"/>
      <c r="FH10" s="0"/>
      <c r="FI10" s="0"/>
      <c r="FJ10" s="0"/>
      <c r="FK10" s="5" t="s">
        <f>=FK7*(FK8*FK6/100-FK5+FK9)</f>
      </c>
      <c r="FL10" s="0" t="s">
        <v>640</v>
      </c>
      <c r="FM10" s="0"/>
      <c r="FN10" s="6" t="s">
        <f>=Портфель!G60*Портфель!$Q$13</f>
      </c>
      <c r="FO10" s="0" t="s">
        <v>6</v>
      </c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5" t="s">
        <f>=GC7*(GC8*GC6/100-GC5+GC9)</f>
      </c>
      <c r="GD10" s="0" t="s">
        <v>640</v>
      </c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5" t="s">
        <f>=GR7*(GR8*GR6/100-GR5+GR9)</f>
      </c>
      <c r="GS10" s="0" t="s">
        <v>640</v>
      </c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5" t="s">
        <f>=HG7*(HG8*HG6/100-HG5+HG9)</f>
      </c>
      <c r="HH10" s="0" t="s">
        <v>640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640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6" t="n">
        <v>11.23</v>
      </c>
      <c r="EE11" s="0" t="s">
        <v>638</v>
      </c>
      <c r="EF11" s="11" t="n">
        <v>45551</v>
      </c>
      <c r="EG11" s="6" t="n">
        <v>106</v>
      </c>
      <c r="EH11" s="6" t="n">
        <v>15236.17</v>
      </c>
      <c r="EI11" s="11" t="n">
        <v>45817</v>
      </c>
      <c r="EJ11" s="6" t="n">
        <v>200</v>
      </c>
      <c r="EK11" s="6" t="n">
        <v>426.12</v>
      </c>
      <c r="EL11" s="0"/>
      <c r="EM11" s="5" t="s">
        <f>=EM10*(ABS(EM9)-ABS(EM8))</f>
      </c>
      <c r="EN11" s="0" t="s">
        <v>640</v>
      </c>
      <c r="EO11" s="0"/>
      <c r="EP11" s="5" t="s">
        <f>=EP10*(ABS(EP9)-ABS(EP8))</f>
      </c>
      <c r="EQ11" s="0" t="s">
        <v>640</v>
      </c>
      <c r="ER11" s="0"/>
      <c r="ES11" s="6" t="s">
        <f>=Портфель!G53*Портфель!$Q$13</f>
      </c>
      <c r="ET11" s="0" t="s">
        <v>6</v>
      </c>
      <c r="EU11" s="0"/>
      <c r="EV11" s="5" t="s">
        <f>=EV8*(EV9*EV7/100-EV6+EV10)</f>
      </c>
      <c r="EW11" s="0" t="s">
        <v>640</v>
      </c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6" t="s">
        <f>=Портфель!H60*Портфель!$Q$13</f>
      </c>
      <c r="FO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6" t="n">
        <v>769</v>
      </c>
      <c r="EE12" s="0" t="s">
        <v>639</v>
      </c>
      <c r="EF12" s="11" t="n">
        <v>45553</v>
      </c>
      <c r="EG12" s="6" t="n">
        <v>11</v>
      </c>
      <c r="EH12" s="6" t="n">
        <v>1578.55</v>
      </c>
      <c r="EI12" s="11" t="n">
        <v>45840</v>
      </c>
      <c r="EJ12" s="6" t="n">
        <v>100</v>
      </c>
      <c r="EK12" s="6" t="n">
        <v>210.92</v>
      </c>
      <c r="EL12" s="0"/>
      <c r="EM12" s="0"/>
      <c r="EN12" s="0"/>
      <c r="EO12" s="0"/>
      <c r="EP12" s="0"/>
      <c r="EQ12" s="0"/>
      <c r="ER12" s="0"/>
      <c r="ES12" s="6" t="s">
        <f>=Портфель!H53*Портфель!$Q$13</f>
      </c>
      <c r="ET12" s="0" t="s">
        <v>7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5" t="s">
        <f>=FN9*(FN10*FN8/100-FN7+FN11)</f>
      </c>
      <c r="FO12" s="0" t="s">
        <v>640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5" t="s">
        <f>=ED12*(ABS(ED11)-ABS(ED10))</f>
      </c>
      <c r="EE13" s="0" t="s">
        <v>640</v>
      </c>
      <c r="EF13" s="11" t="n">
        <v>45567</v>
      </c>
      <c r="EG13" s="6" t="n">
        <v>2</v>
      </c>
      <c r="EH13" s="6" t="n">
        <v>289.09</v>
      </c>
      <c r="EI13" s="11" t="n">
        <v>45846</v>
      </c>
      <c r="EJ13" s="6" t="n">
        <v>350</v>
      </c>
      <c r="EK13" s="6" t="n">
        <v>729.45</v>
      </c>
      <c r="EL13" s="0"/>
      <c r="EM13" s="0"/>
      <c r="EN13" s="0"/>
      <c r="EO13" s="0"/>
      <c r="EP13" s="0"/>
      <c r="EQ13" s="0"/>
      <c r="ER13" s="0"/>
      <c r="ES13" s="5" t="s">
        <f>=ES10*(ES11*ES9/100-ES8+ES12)</f>
      </c>
      <c r="ET13" s="0" t="s">
        <v>640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45568</v>
      </c>
      <c r="EG14" s="6" t="n">
        <v>3</v>
      </c>
      <c r="EH14" s="6" t="n">
        <v>433.13</v>
      </c>
      <c r="EI14" s="0"/>
      <c r="EJ14" s="5" t="s">
        <f>=SUM(EK2:EK13)/SUM(EJ2:EJ13)</f>
      </c>
      <c r="EK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45573</v>
      </c>
      <c r="EG15" s="6" t="n">
        <v>1</v>
      </c>
      <c r="EH15" s="6" t="n">
        <v>144.38</v>
      </c>
      <c r="EI15" s="0"/>
      <c r="EJ15" s="6" t="n">
        <v>2.499</v>
      </c>
      <c r="EK15" s="0" t="s">
        <v>638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45574</v>
      </c>
      <c r="EG16" s="6" t="n">
        <v>1</v>
      </c>
      <c r="EH16" s="6" t="n">
        <v>144.42</v>
      </c>
      <c r="EI16" s="0"/>
      <c r="EJ16" s="6" t="n">
        <v>15464</v>
      </c>
      <c r="EK16" s="0" t="s">
        <v>639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11" t="n">
        <v>45628</v>
      </c>
      <c r="EG17" s="6" t="n">
        <v>2</v>
      </c>
      <c r="EH17" s="6" t="n">
        <v>283.29</v>
      </c>
      <c r="EI17" s="0"/>
      <c r="EJ17" s="5" t="s">
        <f>=EJ16*(ABS(EJ15)-ABS(EJ14))</f>
      </c>
      <c r="EK17" s="0" t="s">
        <v>640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11" t="n">
        <v>45701</v>
      </c>
      <c r="EG18" s="6" t="n">
        <v>3</v>
      </c>
      <c r="EH18" s="6" t="n">
        <v>463.28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11" t="n">
        <v>45749</v>
      </c>
      <c r="EG19" s="6" t="n">
        <v>1</v>
      </c>
      <c r="EH19" s="6" t="n">
        <v>159.55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5" t="s">
        <f>=SUM(EH2:EH19)/SUM(EG2:EG19)</f>
      </c>
      <c r="EH20" s="0" t="s">
        <v>11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6" t="n">
        <v>183.64</v>
      </c>
      <c r="EH21" s="0" t="s">
        <v>638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6" t="n">
        <v>314</v>
      </c>
      <c r="EH22" s="0" t="s">
        <v>639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5" t="s">
        <f>=EG22*(ABS(EG21)-ABS(EG20))</f>
      </c>
      <c r="EH23" s="0" t="s">
        <v>640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249</v>
      </c>
      <c r="B1" s="18" t="s">
        <v>0</v>
      </c>
      <c r="C1" s="18" t="s">
        <v>2</v>
      </c>
      <c r="D1" s="18" t="s">
        <v>641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642</v>
      </c>
      <c r="L1" s="18" t="s">
        <v>643</v>
      </c>
      <c r="M1" s="18" t="s">
        <v>20</v>
      </c>
      <c r="N1" s="18" t="s">
        <v>33</v>
      </c>
      <c r="O1" s="18" t="s">
        <v>644</v>
      </c>
    </row>
    <row collapsed="false" customFormat="false" customHeight="false" hidden="false" ht="12.1" outlineLevel="0" r="2">
      <c r="A2" s="21" t="n">
        <v>44628</v>
      </c>
      <c r="B2" s="22" t="s">
        <v>645</v>
      </c>
      <c r="C2" s="22" t="s">
        <v>257</v>
      </c>
      <c r="D2" s="22" t="s">
        <v>645</v>
      </c>
      <c r="E2" s="22" t="s">
        <v>645</v>
      </c>
      <c r="F2" s="22" t="s">
        <v>20</v>
      </c>
      <c r="G2" s="23" t="n">
        <v>1</v>
      </c>
      <c r="H2" s="24" t="n">
        <v>2600</v>
      </c>
      <c r="I2" s="24" t="n">
        <v>2600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44643</v>
      </c>
      <c r="B3" s="22" t="s">
        <v>645</v>
      </c>
      <c r="C3" s="22" t="s">
        <v>257</v>
      </c>
      <c r="D3" s="22" t="s">
        <v>645</v>
      </c>
      <c r="E3" s="22" t="s">
        <v>645</v>
      </c>
      <c r="F3" s="22" t="s">
        <v>20</v>
      </c>
      <c r="G3" s="23" t="n">
        <v>1</v>
      </c>
      <c r="H3" s="24" t="n">
        <v>200</v>
      </c>
      <c r="I3" s="24" t="n">
        <v>200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44644.41693287</v>
      </c>
      <c r="B4" s="2" t="s">
        <v>17</v>
      </c>
      <c r="C4" s="2" t="s">
        <v>646</v>
      </c>
      <c r="D4" s="2" t="s">
        <v>527</v>
      </c>
      <c r="E4" s="2" t="s">
        <v>18</v>
      </c>
      <c r="F4" s="2" t="s">
        <v>20</v>
      </c>
      <c r="G4" s="7" t="n">
        <v>1</v>
      </c>
      <c r="H4" s="6" t="n">
        <v>311.55</v>
      </c>
      <c r="I4" s="6" t="n">
        <v>-311.55</v>
      </c>
      <c r="J4" s="6" t="n">
        <v>0</v>
      </c>
      <c r="K4" s="6" t="n">
        <v>-0.19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44644.417314815</v>
      </c>
      <c r="B5" s="2" t="s">
        <v>76</v>
      </c>
      <c r="C5" s="2" t="s">
        <v>647</v>
      </c>
      <c r="D5" s="2" t="s">
        <v>527</v>
      </c>
      <c r="E5" s="2" t="s">
        <v>18</v>
      </c>
      <c r="F5" s="2" t="s">
        <v>20</v>
      </c>
      <c r="G5" s="7" t="n">
        <v>10</v>
      </c>
      <c r="H5" s="6" t="n">
        <v>92.7</v>
      </c>
      <c r="I5" s="6" t="n">
        <v>-927</v>
      </c>
      <c r="J5" s="6" t="n">
        <v>0</v>
      </c>
      <c r="K5" s="6" t="n">
        <v>-0.55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44644.417951389</v>
      </c>
      <c r="B6" s="2" t="s">
        <v>60</v>
      </c>
      <c r="C6" s="2" t="s">
        <v>648</v>
      </c>
      <c r="D6" s="2" t="s">
        <v>527</v>
      </c>
      <c r="E6" s="2" t="s">
        <v>18</v>
      </c>
      <c r="F6" s="2" t="s">
        <v>20</v>
      </c>
      <c r="G6" s="7" t="n">
        <v>100</v>
      </c>
      <c r="H6" s="6" t="n">
        <v>11.507</v>
      </c>
      <c r="I6" s="6" t="n">
        <v>-1150.7</v>
      </c>
      <c r="J6" s="6" t="n">
        <v>0</v>
      </c>
      <c r="K6" s="6" t="n">
        <v>-0.7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1" t="n">
        <v>44645</v>
      </c>
      <c r="B7" s="22" t="s">
        <v>645</v>
      </c>
      <c r="C7" s="22" t="s">
        <v>257</v>
      </c>
      <c r="D7" s="22" t="s">
        <v>645</v>
      </c>
      <c r="E7" s="22" t="s">
        <v>645</v>
      </c>
      <c r="F7" s="22" t="s">
        <v>20</v>
      </c>
      <c r="G7" s="23" t="n">
        <v>1</v>
      </c>
      <c r="H7" s="24" t="n">
        <v>777</v>
      </c>
      <c r="I7" s="24" t="n">
        <v>777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0" t="n">
        <v>44645.439409722</v>
      </c>
      <c r="B8" s="2" t="s">
        <v>532</v>
      </c>
      <c r="C8" s="2" t="s">
        <v>649</v>
      </c>
      <c r="D8" s="2" t="s">
        <v>527</v>
      </c>
      <c r="E8" s="2" t="s">
        <v>18</v>
      </c>
      <c r="F8" s="2" t="s">
        <v>20</v>
      </c>
      <c r="G8" s="7" t="n">
        <v>10000</v>
      </c>
      <c r="H8" s="6" t="n">
        <v>0.017975</v>
      </c>
      <c r="I8" s="6" t="n">
        <v>-179.75</v>
      </c>
      <c r="J8" s="6" t="n">
        <v>0</v>
      </c>
      <c r="K8" s="6" t="n">
        <v>-0.11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44645.499444444</v>
      </c>
      <c r="B9" s="2" t="s">
        <v>108</v>
      </c>
      <c r="C9" s="2" t="s">
        <v>650</v>
      </c>
      <c r="D9" s="2" t="s">
        <v>527</v>
      </c>
      <c r="E9" s="2" t="s">
        <v>18</v>
      </c>
      <c r="F9" s="2" t="s">
        <v>20</v>
      </c>
      <c r="G9" s="7" t="n">
        <v>10</v>
      </c>
      <c r="H9" s="6" t="n">
        <v>66.675</v>
      </c>
      <c r="I9" s="6" t="n">
        <v>-666.75</v>
      </c>
      <c r="J9" s="6" t="n">
        <v>0</v>
      </c>
      <c r="K9" s="6" t="n">
        <v>-0.4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1" t="n">
        <v>44648</v>
      </c>
      <c r="B10" s="22" t="s">
        <v>645</v>
      </c>
      <c r="C10" s="22" t="s">
        <v>257</v>
      </c>
      <c r="D10" s="22" t="s">
        <v>645</v>
      </c>
      <c r="E10" s="22" t="s">
        <v>645</v>
      </c>
      <c r="F10" s="22" t="s">
        <v>20</v>
      </c>
      <c r="G10" s="23" t="n">
        <v>1</v>
      </c>
      <c r="H10" s="24" t="n">
        <v>400</v>
      </c>
      <c r="I10" s="24" t="n">
        <v>400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4"/>
      <c r="O10" s="22"/>
    </row>
    <row collapsed="false" customFormat="false" customHeight="false" hidden="false" ht="12.1" outlineLevel="0" r="11">
      <c r="A11" s="20" t="n">
        <v>44648.420509259</v>
      </c>
      <c r="B11" s="2" t="s">
        <v>116</v>
      </c>
      <c r="C11" s="2" t="s">
        <v>651</v>
      </c>
      <c r="D11" s="2" t="s">
        <v>527</v>
      </c>
      <c r="E11" s="2" t="s">
        <v>18</v>
      </c>
      <c r="F11" s="2" t="s">
        <v>20</v>
      </c>
      <c r="G11" s="7" t="n">
        <v>1</v>
      </c>
      <c r="H11" s="6" t="n">
        <v>75.54</v>
      </c>
      <c r="I11" s="6" t="n">
        <v>-75.54</v>
      </c>
      <c r="J11" s="6" t="n">
        <v>0</v>
      </c>
      <c r="K11" s="6" t="n">
        <v>-0.06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44648.457928241</v>
      </c>
      <c r="B12" s="2" t="s">
        <v>533</v>
      </c>
      <c r="C12" s="2" t="s">
        <v>652</v>
      </c>
      <c r="D12" s="2" t="s">
        <v>527</v>
      </c>
      <c r="E12" s="2" t="s">
        <v>18</v>
      </c>
      <c r="F12" s="2" t="s">
        <v>20</v>
      </c>
      <c r="G12" s="7" t="n">
        <v>1</v>
      </c>
      <c r="H12" s="6" t="n">
        <v>70</v>
      </c>
      <c r="I12" s="6" t="n">
        <v>-70</v>
      </c>
      <c r="J12" s="6" t="n">
        <v>0</v>
      </c>
      <c r="K12" s="6" t="n">
        <v>-0.06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44649.562708333</v>
      </c>
      <c r="B13" s="2" t="s">
        <v>88</v>
      </c>
      <c r="C13" s="2" t="s">
        <v>653</v>
      </c>
      <c r="D13" s="2" t="s">
        <v>527</v>
      </c>
      <c r="E13" s="2" t="s">
        <v>18</v>
      </c>
      <c r="F13" s="2" t="s">
        <v>20</v>
      </c>
      <c r="G13" s="7" t="n">
        <v>100</v>
      </c>
      <c r="H13" s="6" t="n">
        <v>1.93</v>
      </c>
      <c r="I13" s="6" t="n">
        <v>-193</v>
      </c>
      <c r="J13" s="6" t="n">
        <v>0</v>
      </c>
      <c r="K13" s="6" t="n">
        <v>-0.12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44650</v>
      </c>
      <c r="B14" s="22" t="s">
        <v>645</v>
      </c>
      <c r="C14" s="22" t="s">
        <v>257</v>
      </c>
      <c r="D14" s="22" t="s">
        <v>645</v>
      </c>
      <c r="E14" s="22" t="s">
        <v>645</v>
      </c>
      <c r="F14" s="22" t="s">
        <v>20</v>
      </c>
      <c r="G14" s="23" t="n">
        <v>2</v>
      </c>
      <c r="H14" s="24" t="n">
        <v>830</v>
      </c>
      <c r="I14" s="24" t="n">
        <v>1660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44651</v>
      </c>
      <c r="B15" s="22" t="s">
        <v>645</v>
      </c>
      <c r="C15" s="22" t="s">
        <v>257</v>
      </c>
      <c r="D15" s="22" t="s">
        <v>645</v>
      </c>
      <c r="E15" s="22" t="s">
        <v>645</v>
      </c>
      <c r="F15" s="22" t="s">
        <v>20</v>
      </c>
      <c r="G15" s="23" t="n">
        <v>1</v>
      </c>
      <c r="H15" s="24" t="n">
        <v>40</v>
      </c>
      <c r="I15" s="24" t="n">
        <v>40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0" t="n">
        <v>44651.437118056</v>
      </c>
      <c r="B16" s="2" t="s">
        <v>131</v>
      </c>
      <c r="C16" s="2" t="s">
        <v>654</v>
      </c>
      <c r="D16" s="2" t="s">
        <v>527</v>
      </c>
      <c r="E16" s="2" t="s">
        <v>124</v>
      </c>
      <c r="F16" s="2" t="s">
        <v>20</v>
      </c>
      <c r="G16" s="7" t="n">
        <v>1</v>
      </c>
      <c r="H16" s="6" t="n">
        <v>99.95</v>
      </c>
      <c r="I16" s="6" t="n">
        <v>-99.95</v>
      </c>
      <c r="J16" s="6" t="n">
        <v>0</v>
      </c>
      <c r="K16" s="6" t="n">
        <v>-0.02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44651.474849537</v>
      </c>
      <c r="B17" s="2" t="s">
        <v>534</v>
      </c>
      <c r="C17" s="2" t="s">
        <v>655</v>
      </c>
      <c r="D17" s="2" t="s">
        <v>527</v>
      </c>
      <c r="E17" s="2" t="s">
        <v>18</v>
      </c>
      <c r="F17" s="2" t="s">
        <v>20</v>
      </c>
      <c r="G17" s="7" t="n">
        <v>10</v>
      </c>
      <c r="H17" s="6" t="n">
        <v>138.7</v>
      </c>
      <c r="I17" s="6" t="n">
        <v>-1387</v>
      </c>
      <c r="J17" s="6" t="n">
        <v>0</v>
      </c>
      <c r="K17" s="6" t="n">
        <v>-0.83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44655</v>
      </c>
      <c r="B18" s="22" t="s">
        <v>645</v>
      </c>
      <c r="C18" s="22" t="s">
        <v>257</v>
      </c>
      <c r="D18" s="22" t="s">
        <v>645</v>
      </c>
      <c r="E18" s="22" t="s">
        <v>645</v>
      </c>
      <c r="F18" s="22" t="s">
        <v>20</v>
      </c>
      <c r="G18" s="23" t="n">
        <v>1</v>
      </c>
      <c r="H18" s="24" t="n">
        <v>1400</v>
      </c>
      <c r="I18" s="24" t="n">
        <v>1400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4"/>
      <c r="O18" s="22"/>
    </row>
    <row collapsed="false" customFormat="false" customHeight="false" hidden="false" ht="12.1" outlineLevel="0" r="19">
      <c r="A19" s="20" t="n">
        <v>44655.526493056</v>
      </c>
      <c r="B19" s="2" t="s">
        <v>133</v>
      </c>
      <c r="C19" s="2" t="s">
        <v>656</v>
      </c>
      <c r="D19" s="2" t="s">
        <v>527</v>
      </c>
      <c r="E19" s="2" t="s">
        <v>124</v>
      </c>
      <c r="F19" s="2" t="s">
        <v>20</v>
      </c>
      <c r="G19" s="7" t="n">
        <v>1600</v>
      </c>
      <c r="H19" s="6" t="n">
        <v>1.1262</v>
      </c>
      <c r="I19" s="6" t="n">
        <v>-1801.92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44657.765277778</v>
      </c>
      <c r="B20" s="2" t="s">
        <v>128</v>
      </c>
      <c r="C20" s="2" t="s">
        <v>657</v>
      </c>
      <c r="D20" s="2" t="s">
        <v>527</v>
      </c>
      <c r="E20" s="2" t="s">
        <v>124</v>
      </c>
      <c r="F20" s="2" t="s">
        <v>20</v>
      </c>
      <c r="G20" s="7" t="n">
        <v>100</v>
      </c>
      <c r="H20" s="6" t="n">
        <v>1.2239</v>
      </c>
      <c r="I20" s="6" t="n">
        <v>-122.39</v>
      </c>
      <c r="J20" s="6" t="n">
        <v>0</v>
      </c>
      <c r="K20" s="6" t="n">
        <v>-0.02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44658.453020833</v>
      </c>
      <c r="B21" s="2" t="s">
        <v>128</v>
      </c>
      <c r="C21" s="2" t="s">
        <v>657</v>
      </c>
      <c r="D21" s="2" t="s">
        <v>527</v>
      </c>
      <c r="E21" s="2" t="s">
        <v>124</v>
      </c>
      <c r="F21" s="2" t="s">
        <v>20</v>
      </c>
      <c r="G21" s="7" t="n">
        <v>70</v>
      </c>
      <c r="H21" s="6" t="n">
        <v>1.1848</v>
      </c>
      <c r="I21" s="6" t="n">
        <v>-82.94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5" t="n">
        <v>44658.530196759</v>
      </c>
      <c r="B22" s="26" t="s">
        <v>133</v>
      </c>
      <c r="C22" s="26" t="s">
        <v>656</v>
      </c>
      <c r="D22" s="26" t="s">
        <v>528</v>
      </c>
      <c r="E22" s="26" t="s">
        <v>124</v>
      </c>
      <c r="F22" s="26" t="s">
        <v>20</v>
      </c>
      <c r="G22" s="27" t="n">
        <v>-900</v>
      </c>
      <c r="H22" s="28" t="n">
        <v>1.1286</v>
      </c>
      <c r="I22" s="28" t="n">
        <v>1015.74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6"/>
    </row>
    <row collapsed="false" customFormat="false" customHeight="false" hidden="false" ht="12.1" outlineLevel="0" r="23">
      <c r="A23" s="21" t="n">
        <v>44659</v>
      </c>
      <c r="B23" s="22" t="s">
        <v>645</v>
      </c>
      <c r="C23" s="22" t="s">
        <v>257</v>
      </c>
      <c r="D23" s="22" t="s">
        <v>645</v>
      </c>
      <c r="E23" s="22" t="s">
        <v>645</v>
      </c>
      <c r="F23" s="22" t="s">
        <v>20</v>
      </c>
      <c r="G23" s="23" t="n">
        <v>1</v>
      </c>
      <c r="H23" s="24" t="n">
        <v>885</v>
      </c>
      <c r="I23" s="24" t="n">
        <v>885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44659.442592593</v>
      </c>
      <c r="B24" s="2" t="s">
        <v>535</v>
      </c>
      <c r="C24" s="2" t="s">
        <v>658</v>
      </c>
      <c r="D24" s="2" t="s">
        <v>527</v>
      </c>
      <c r="E24" s="2" t="s">
        <v>124</v>
      </c>
      <c r="F24" s="2" t="s">
        <v>20</v>
      </c>
      <c r="G24" s="7" t="n">
        <v>20</v>
      </c>
      <c r="H24" s="6" t="n">
        <v>36.175</v>
      </c>
      <c r="I24" s="6" t="n">
        <v>-723.5</v>
      </c>
      <c r="J24" s="6" t="n">
        <v>0</v>
      </c>
      <c r="K24" s="6" t="n">
        <v>-0.08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5" t="n">
        <v>44659.495046296</v>
      </c>
      <c r="B25" s="26" t="s">
        <v>133</v>
      </c>
      <c r="C25" s="26" t="s">
        <v>656</v>
      </c>
      <c r="D25" s="26" t="s">
        <v>528</v>
      </c>
      <c r="E25" s="26" t="s">
        <v>124</v>
      </c>
      <c r="F25" s="26" t="s">
        <v>20</v>
      </c>
      <c r="G25" s="27" t="n">
        <v>-700</v>
      </c>
      <c r="H25" s="28" t="n">
        <v>1.129</v>
      </c>
      <c r="I25" s="28" t="n">
        <v>790.3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8"/>
      <c r="O25" s="26"/>
    </row>
    <row collapsed="false" customFormat="false" customHeight="false" hidden="false" ht="12.1" outlineLevel="0" r="26">
      <c r="A26" s="20" t="n">
        <v>44659.495324074</v>
      </c>
      <c r="B26" s="2" t="s">
        <v>536</v>
      </c>
      <c r="C26" s="2" t="s">
        <v>659</v>
      </c>
      <c r="D26" s="2" t="s">
        <v>527</v>
      </c>
      <c r="E26" s="2" t="s">
        <v>137</v>
      </c>
      <c r="F26" s="2" t="s">
        <v>20</v>
      </c>
      <c r="G26" s="7" t="n">
        <v>1</v>
      </c>
      <c r="H26" s="6" t="n">
        <v>86.74</v>
      </c>
      <c r="I26" s="6" t="n">
        <v>-867.4</v>
      </c>
      <c r="J26" s="6" t="n">
        <v>-2.81</v>
      </c>
      <c r="K26" s="6" t="n">
        <v>-0.52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44659.526689815</v>
      </c>
      <c r="B27" s="2" t="s">
        <v>74</v>
      </c>
      <c r="C27" s="2" t="s">
        <v>660</v>
      </c>
      <c r="D27" s="2" t="s">
        <v>527</v>
      </c>
      <c r="E27" s="2" t="s">
        <v>18</v>
      </c>
      <c r="F27" s="2" t="s">
        <v>20</v>
      </c>
      <c r="G27" s="7" t="n">
        <v>10</v>
      </c>
      <c r="H27" s="6" t="n">
        <v>85.29</v>
      </c>
      <c r="I27" s="6" t="n">
        <v>-852.9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1" t="n">
        <v>44662</v>
      </c>
      <c r="B28" s="22" t="s">
        <v>645</v>
      </c>
      <c r="C28" s="22" t="s">
        <v>257</v>
      </c>
      <c r="D28" s="22" t="s">
        <v>645</v>
      </c>
      <c r="E28" s="22" t="s">
        <v>645</v>
      </c>
      <c r="F28" s="22" t="s">
        <v>20</v>
      </c>
      <c r="G28" s="23" t="n">
        <v>1</v>
      </c>
      <c r="H28" s="24" t="n">
        <v>200</v>
      </c>
      <c r="I28" s="24" t="n">
        <v>200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44662.539722222</v>
      </c>
      <c r="B29" s="2" t="s">
        <v>133</v>
      </c>
      <c r="C29" s="2" t="s">
        <v>656</v>
      </c>
      <c r="D29" s="2" t="s">
        <v>527</v>
      </c>
      <c r="E29" s="2" t="s">
        <v>124</v>
      </c>
      <c r="F29" s="2" t="s">
        <v>20</v>
      </c>
      <c r="G29" s="7" t="n">
        <v>380</v>
      </c>
      <c r="H29" s="6" t="n">
        <v>1.13</v>
      </c>
      <c r="I29" s="6" t="n">
        <v>-429.4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44663.472384259</v>
      </c>
      <c r="B30" s="26" t="s">
        <v>133</v>
      </c>
      <c r="C30" s="26" t="s">
        <v>656</v>
      </c>
      <c r="D30" s="26" t="s">
        <v>528</v>
      </c>
      <c r="E30" s="26" t="s">
        <v>124</v>
      </c>
      <c r="F30" s="26" t="s">
        <v>20</v>
      </c>
      <c r="G30" s="27" t="n">
        <v>-70</v>
      </c>
      <c r="H30" s="28" t="n">
        <v>1.1305</v>
      </c>
      <c r="I30" s="28" t="n">
        <v>79.14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8"/>
      <c r="O30" s="26"/>
    </row>
    <row collapsed="false" customFormat="false" customHeight="false" hidden="false" ht="12.1" outlineLevel="0" r="31">
      <c r="A31" s="20" t="n">
        <v>44666.464965278</v>
      </c>
      <c r="B31" s="2" t="s">
        <v>131</v>
      </c>
      <c r="C31" s="2" t="s">
        <v>654</v>
      </c>
      <c r="D31" s="2" t="s">
        <v>527</v>
      </c>
      <c r="E31" s="2" t="s">
        <v>124</v>
      </c>
      <c r="F31" s="2" t="s">
        <v>20</v>
      </c>
      <c r="G31" s="7" t="n">
        <v>1</v>
      </c>
      <c r="H31" s="6" t="n">
        <v>95.45</v>
      </c>
      <c r="I31" s="6" t="n">
        <v>-95.45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44669</v>
      </c>
      <c r="B32" s="22" t="s">
        <v>645</v>
      </c>
      <c r="C32" s="22" t="s">
        <v>257</v>
      </c>
      <c r="D32" s="22" t="s">
        <v>645</v>
      </c>
      <c r="E32" s="22" t="s">
        <v>645</v>
      </c>
      <c r="F32" s="22" t="s">
        <v>20</v>
      </c>
      <c r="G32" s="23" t="n">
        <v>1</v>
      </c>
      <c r="H32" s="24" t="n">
        <v>1000</v>
      </c>
      <c r="I32" s="24" t="n">
        <v>1000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1" t="n">
        <v>44670</v>
      </c>
      <c r="B33" s="22" t="s">
        <v>645</v>
      </c>
      <c r="C33" s="22" t="s">
        <v>257</v>
      </c>
      <c r="D33" s="22" t="s">
        <v>645</v>
      </c>
      <c r="E33" s="22" t="s">
        <v>645</v>
      </c>
      <c r="F33" s="22" t="s">
        <v>20</v>
      </c>
      <c r="G33" s="23" t="n">
        <v>3</v>
      </c>
      <c r="H33" s="24" t="n">
        <v>1166.6666666667</v>
      </c>
      <c r="I33" s="24" t="n">
        <v>3500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4"/>
      <c r="O33" s="22"/>
    </row>
    <row collapsed="false" customFormat="false" customHeight="false" hidden="false" ht="12.1" outlineLevel="0" r="34">
      <c r="A34" s="20" t="n">
        <v>44670.458877315</v>
      </c>
      <c r="B34" s="2" t="s">
        <v>110</v>
      </c>
      <c r="C34" s="2" t="s">
        <v>661</v>
      </c>
      <c r="D34" s="2" t="s">
        <v>527</v>
      </c>
      <c r="E34" s="2" t="s">
        <v>18</v>
      </c>
      <c r="F34" s="2" t="s">
        <v>20</v>
      </c>
      <c r="G34" s="7" t="n">
        <v>10</v>
      </c>
      <c r="H34" s="6" t="n">
        <v>76.66</v>
      </c>
      <c r="I34" s="6" t="n">
        <v>-766.6</v>
      </c>
      <c r="J34" s="6" t="n">
        <v>0</v>
      </c>
      <c r="K34" s="6" t="n">
        <v>-0.45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44670.599409722</v>
      </c>
      <c r="B35" s="2" t="s">
        <v>60</v>
      </c>
      <c r="C35" s="2" t="s">
        <v>648</v>
      </c>
      <c r="D35" s="2" t="s">
        <v>527</v>
      </c>
      <c r="E35" s="2" t="s">
        <v>18</v>
      </c>
      <c r="F35" s="2" t="s">
        <v>20</v>
      </c>
      <c r="G35" s="7" t="n">
        <v>100</v>
      </c>
      <c r="H35" s="6" t="n">
        <v>11.814</v>
      </c>
      <c r="I35" s="6" t="n">
        <v>-1181.4</v>
      </c>
      <c r="J35" s="6" t="n">
        <v>0</v>
      </c>
      <c r="K35" s="6" t="n">
        <v>-0.71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44671</v>
      </c>
      <c r="B36" s="22" t="s">
        <v>645</v>
      </c>
      <c r="C36" s="22" t="s">
        <v>257</v>
      </c>
      <c r="D36" s="22" t="s">
        <v>645</v>
      </c>
      <c r="E36" s="22" t="s">
        <v>645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1" t="n">
        <v>44672</v>
      </c>
      <c r="B37" s="22" t="s">
        <v>645</v>
      </c>
      <c r="C37" s="22" t="s">
        <v>257</v>
      </c>
      <c r="D37" s="22" t="s">
        <v>645</v>
      </c>
      <c r="E37" s="22" t="s">
        <v>645</v>
      </c>
      <c r="F37" s="22" t="s">
        <v>20</v>
      </c>
      <c r="G37" s="23" t="n">
        <v>2</v>
      </c>
      <c r="H37" s="24" t="n">
        <v>1750</v>
      </c>
      <c r="I37" s="24" t="n">
        <v>3500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0" t="n">
        <v>44672.607962963</v>
      </c>
      <c r="B38" s="2" t="s">
        <v>86</v>
      </c>
      <c r="C38" s="2" t="s">
        <v>662</v>
      </c>
      <c r="D38" s="2" t="s">
        <v>527</v>
      </c>
      <c r="E38" s="2" t="s">
        <v>18</v>
      </c>
      <c r="F38" s="2" t="s">
        <v>20</v>
      </c>
      <c r="G38" s="7" t="n">
        <v>1</v>
      </c>
      <c r="H38" s="6" t="n">
        <v>890</v>
      </c>
      <c r="I38" s="6" t="n">
        <v>-890</v>
      </c>
      <c r="J38" s="6" t="n">
        <v>0</v>
      </c>
      <c r="K38" s="6" t="n">
        <v>-0.54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44672.74375</v>
      </c>
      <c r="B39" s="2" t="s">
        <v>34</v>
      </c>
      <c r="C39" s="2" t="s">
        <v>663</v>
      </c>
      <c r="D39" s="2" t="s">
        <v>527</v>
      </c>
      <c r="E39" s="2" t="s">
        <v>18</v>
      </c>
      <c r="F39" s="2" t="s">
        <v>20</v>
      </c>
      <c r="G39" s="7" t="n">
        <v>1</v>
      </c>
      <c r="H39" s="6" t="n">
        <v>3988.5</v>
      </c>
      <c r="I39" s="6" t="n">
        <v>-3988.5</v>
      </c>
      <c r="J39" s="6" t="n">
        <v>0</v>
      </c>
      <c r="K39" s="6" t="n">
        <v>-2.39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1" t="n">
        <v>44673</v>
      </c>
      <c r="B40" s="22" t="s">
        <v>645</v>
      </c>
      <c r="C40" s="22" t="s">
        <v>257</v>
      </c>
      <c r="D40" s="22" t="s">
        <v>645</v>
      </c>
      <c r="E40" s="22" t="s">
        <v>645</v>
      </c>
      <c r="F40" s="22" t="s">
        <v>20</v>
      </c>
      <c r="G40" s="23" t="n">
        <v>1</v>
      </c>
      <c r="H40" s="24" t="n">
        <v>5000</v>
      </c>
      <c r="I40" s="24" t="n">
        <v>5000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44673.429513889</v>
      </c>
      <c r="B41" s="2" t="s">
        <v>128</v>
      </c>
      <c r="C41" s="2" t="s">
        <v>657</v>
      </c>
      <c r="D41" s="2" t="s">
        <v>527</v>
      </c>
      <c r="E41" s="2" t="s">
        <v>124</v>
      </c>
      <c r="F41" s="2" t="s">
        <v>20</v>
      </c>
      <c r="G41" s="7" t="n">
        <v>90</v>
      </c>
      <c r="H41" s="6" t="n">
        <v>1.188</v>
      </c>
      <c r="I41" s="6" t="n">
        <v>-106.92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44673.528865741</v>
      </c>
      <c r="B42" s="2" t="s">
        <v>34</v>
      </c>
      <c r="C42" s="2" t="s">
        <v>663</v>
      </c>
      <c r="D42" s="2" t="s">
        <v>527</v>
      </c>
      <c r="E42" s="2" t="s">
        <v>18</v>
      </c>
      <c r="F42" s="2" t="s">
        <v>20</v>
      </c>
      <c r="G42" s="7" t="n">
        <v>1</v>
      </c>
      <c r="H42" s="6" t="n">
        <v>3800</v>
      </c>
      <c r="I42" s="6" t="n">
        <v>-3800</v>
      </c>
      <c r="J42" s="6" t="n">
        <v>0</v>
      </c>
      <c r="K42" s="6" t="n">
        <v>-2.28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44673.739525463</v>
      </c>
      <c r="B43" s="2" t="s">
        <v>84</v>
      </c>
      <c r="C43" s="2" t="s">
        <v>664</v>
      </c>
      <c r="D43" s="2" t="s">
        <v>527</v>
      </c>
      <c r="E43" s="2" t="s">
        <v>18</v>
      </c>
      <c r="F43" s="2" t="s">
        <v>20</v>
      </c>
      <c r="G43" s="7" t="n">
        <v>10</v>
      </c>
      <c r="H43" s="6" t="n">
        <v>207.16</v>
      </c>
      <c r="I43" s="6" t="n">
        <v>-2071.6</v>
      </c>
      <c r="J43" s="6" t="n">
        <v>0</v>
      </c>
      <c r="K43" s="6" t="n">
        <v>-1.25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44676.566400463</v>
      </c>
      <c r="B44" s="2" t="s">
        <v>128</v>
      </c>
      <c r="C44" s="2" t="s">
        <v>657</v>
      </c>
      <c r="D44" s="2" t="s">
        <v>527</v>
      </c>
      <c r="E44" s="2" t="s">
        <v>124</v>
      </c>
      <c r="F44" s="2" t="s">
        <v>20</v>
      </c>
      <c r="G44" s="7" t="n">
        <v>200</v>
      </c>
      <c r="H44" s="6" t="n">
        <v>1.17</v>
      </c>
      <c r="I44" s="6" t="n">
        <v>-234</v>
      </c>
      <c r="J44" s="6" t="n">
        <v>0</v>
      </c>
      <c r="K44" s="6" t="n">
        <v>-0.04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44677.581145833</v>
      </c>
      <c r="B45" s="2" t="s">
        <v>128</v>
      </c>
      <c r="C45" s="2" t="s">
        <v>657</v>
      </c>
      <c r="D45" s="2" t="s">
        <v>527</v>
      </c>
      <c r="E45" s="2" t="s">
        <v>124</v>
      </c>
      <c r="F45" s="2" t="s">
        <v>20</v>
      </c>
      <c r="G45" s="7" t="n">
        <v>300</v>
      </c>
      <c r="H45" s="6" t="n">
        <v>1.14</v>
      </c>
      <c r="I45" s="6" t="n">
        <v>-342</v>
      </c>
      <c r="J45" s="6" t="n">
        <v>0</v>
      </c>
      <c r="K45" s="6" t="n">
        <v>-0.03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44678.516377315</v>
      </c>
      <c r="B46" s="2" t="s">
        <v>128</v>
      </c>
      <c r="C46" s="2" t="s">
        <v>657</v>
      </c>
      <c r="D46" s="2" t="s">
        <v>527</v>
      </c>
      <c r="E46" s="2" t="s">
        <v>124</v>
      </c>
      <c r="F46" s="2" t="s">
        <v>20</v>
      </c>
      <c r="G46" s="7" t="n">
        <v>200</v>
      </c>
      <c r="H46" s="6" t="n">
        <v>1.13</v>
      </c>
      <c r="I46" s="6" t="n">
        <v>-226</v>
      </c>
      <c r="J46" s="6" t="n">
        <v>0</v>
      </c>
      <c r="K46" s="6" t="n">
        <v>-0.02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1" t="n">
        <v>44685</v>
      </c>
      <c r="B47" s="22" t="s">
        <v>645</v>
      </c>
      <c r="C47" s="22" t="s">
        <v>257</v>
      </c>
      <c r="D47" s="22" t="s">
        <v>645</v>
      </c>
      <c r="E47" s="22" t="s">
        <v>645</v>
      </c>
      <c r="F47" s="22" t="s">
        <v>20</v>
      </c>
      <c r="G47" s="23" t="n">
        <v>2</v>
      </c>
      <c r="H47" s="24" t="n">
        <v>650</v>
      </c>
      <c r="I47" s="24" t="n">
        <v>1300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4"/>
      <c r="O47" s="22"/>
    </row>
    <row collapsed="false" customFormat="false" customHeight="false" hidden="false" ht="12.1" outlineLevel="0" r="48">
      <c r="A48" s="20" t="n">
        <v>44685.699803241</v>
      </c>
      <c r="B48" s="2" t="s">
        <v>128</v>
      </c>
      <c r="C48" s="2" t="s">
        <v>657</v>
      </c>
      <c r="D48" s="2" t="s">
        <v>527</v>
      </c>
      <c r="E48" s="2" t="s">
        <v>124</v>
      </c>
      <c r="F48" s="2" t="s">
        <v>20</v>
      </c>
      <c r="G48" s="7" t="n">
        <v>100</v>
      </c>
      <c r="H48" s="6" t="n">
        <v>1.09</v>
      </c>
      <c r="I48" s="6" t="n">
        <v>-109</v>
      </c>
      <c r="J48" s="6" t="n">
        <v>0</v>
      </c>
      <c r="K48" s="6" t="n">
        <v>-0.02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44686.495173611</v>
      </c>
      <c r="B49" s="2" t="s">
        <v>128</v>
      </c>
      <c r="C49" s="2" t="s">
        <v>657</v>
      </c>
      <c r="D49" s="2" t="s">
        <v>527</v>
      </c>
      <c r="E49" s="2" t="s">
        <v>124</v>
      </c>
      <c r="F49" s="2" t="s">
        <v>20</v>
      </c>
      <c r="G49" s="7" t="n">
        <v>100</v>
      </c>
      <c r="H49" s="6" t="n">
        <v>1.06</v>
      </c>
      <c r="I49" s="6" t="n">
        <v>-106</v>
      </c>
      <c r="J49" s="6" t="n">
        <v>0</v>
      </c>
      <c r="K49" s="6" t="n">
        <v>-0.02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1" t="n">
        <v>44687</v>
      </c>
      <c r="B50" s="22" t="s">
        <v>645</v>
      </c>
      <c r="C50" s="22" t="s">
        <v>257</v>
      </c>
      <c r="D50" s="22" t="s">
        <v>645</v>
      </c>
      <c r="E50" s="22" t="s">
        <v>645</v>
      </c>
      <c r="F50" s="22" t="s">
        <v>20</v>
      </c>
      <c r="G50" s="23" t="n">
        <v>1</v>
      </c>
      <c r="H50" s="24" t="n">
        <v>113</v>
      </c>
      <c r="I50" s="24" t="n">
        <v>113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0" t="n">
        <v>44687.769780093</v>
      </c>
      <c r="B51" s="2" t="s">
        <v>133</v>
      </c>
      <c r="C51" s="2" t="s">
        <v>656</v>
      </c>
      <c r="D51" s="2" t="s">
        <v>527</v>
      </c>
      <c r="E51" s="2" t="s">
        <v>124</v>
      </c>
      <c r="F51" s="2" t="s">
        <v>20</v>
      </c>
      <c r="G51" s="7" t="n">
        <v>1300</v>
      </c>
      <c r="H51" s="6" t="n">
        <v>1.1439</v>
      </c>
      <c r="I51" s="6" t="n">
        <v>-1487.07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0" t="n">
        <v>44693.418541667</v>
      </c>
      <c r="B52" s="2" t="s">
        <v>128</v>
      </c>
      <c r="C52" s="2" t="s">
        <v>657</v>
      </c>
      <c r="D52" s="2" t="s">
        <v>527</v>
      </c>
      <c r="E52" s="2" t="s">
        <v>124</v>
      </c>
      <c r="F52" s="2" t="s">
        <v>20</v>
      </c>
      <c r="G52" s="7" t="n">
        <v>80</v>
      </c>
      <c r="H52" s="6" t="n">
        <v>1.0477</v>
      </c>
      <c r="I52" s="6" t="n">
        <v>-83.82</v>
      </c>
      <c r="J52" s="6" t="n">
        <v>0</v>
      </c>
      <c r="K52" s="6" t="n">
        <v>-0.02</v>
      </c>
      <c r="L52" s="6" t="n">
        <v>0</v>
      </c>
      <c r="M52" s="6" t="s">
        <f>=I52+J52+K52+L52</f>
      </c>
      <c r="N52" s="6"/>
      <c r="O52" s="2"/>
    </row>
    <row collapsed="false" customFormat="false" customHeight="false" hidden="false" ht="12.1" outlineLevel="0" r="53">
      <c r="A53" s="21" t="n">
        <v>44694</v>
      </c>
      <c r="B53" s="22" t="s">
        <v>645</v>
      </c>
      <c r="C53" s="22" t="s">
        <v>257</v>
      </c>
      <c r="D53" s="22" t="s">
        <v>645</v>
      </c>
      <c r="E53" s="22" t="s">
        <v>645</v>
      </c>
      <c r="F53" s="22" t="s">
        <v>20</v>
      </c>
      <c r="G53" s="23" t="n">
        <v>1</v>
      </c>
      <c r="H53" s="24" t="n">
        <v>78</v>
      </c>
      <c r="I53" s="24" t="n">
        <v>78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5" t="n">
        <v>44694.432511574</v>
      </c>
      <c r="B54" s="26" t="s">
        <v>133</v>
      </c>
      <c r="C54" s="26" t="s">
        <v>656</v>
      </c>
      <c r="D54" s="26" t="s">
        <v>528</v>
      </c>
      <c r="E54" s="26" t="s">
        <v>124</v>
      </c>
      <c r="F54" s="26" t="s">
        <v>20</v>
      </c>
      <c r="G54" s="27" t="n">
        <v>-1610</v>
      </c>
      <c r="H54" s="28" t="n">
        <v>1.1456347826087</v>
      </c>
      <c r="I54" s="28" t="n">
        <v>1844.47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8"/>
      <c r="O54" s="26"/>
    </row>
    <row collapsed="false" customFormat="false" customHeight="false" hidden="false" ht="12.1" outlineLevel="0" r="55">
      <c r="A55" s="25" t="n">
        <v>44697.717152778</v>
      </c>
      <c r="B55" s="26" t="s">
        <v>34</v>
      </c>
      <c r="C55" s="26" t="s">
        <v>663</v>
      </c>
      <c r="D55" s="26" t="s">
        <v>528</v>
      </c>
      <c r="E55" s="26" t="s">
        <v>18</v>
      </c>
      <c r="F55" s="26" t="s">
        <v>20</v>
      </c>
      <c r="G55" s="27" t="n">
        <v>-1</v>
      </c>
      <c r="H55" s="28" t="n">
        <v>4578</v>
      </c>
      <c r="I55" s="28" t="n">
        <v>4578</v>
      </c>
      <c r="J55" s="28" t="n">
        <v>0</v>
      </c>
      <c r="K55" s="28" t="n">
        <v>-2.74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0" t="n">
        <v>44697.734710648</v>
      </c>
      <c r="B56" s="2" t="s">
        <v>133</v>
      </c>
      <c r="C56" s="2" t="s">
        <v>656</v>
      </c>
      <c r="D56" s="2" t="s">
        <v>527</v>
      </c>
      <c r="E56" s="2" t="s">
        <v>124</v>
      </c>
      <c r="F56" s="2" t="s">
        <v>20</v>
      </c>
      <c r="G56" s="7" t="n">
        <v>5300</v>
      </c>
      <c r="H56" s="6" t="n">
        <v>1.1463</v>
      </c>
      <c r="I56" s="6" t="n">
        <v>-6075.39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5" t="n">
        <v>44700.416377315</v>
      </c>
      <c r="B57" s="26" t="s">
        <v>133</v>
      </c>
      <c r="C57" s="26" t="s">
        <v>656</v>
      </c>
      <c r="D57" s="26" t="s">
        <v>528</v>
      </c>
      <c r="E57" s="26" t="s">
        <v>124</v>
      </c>
      <c r="F57" s="26" t="s">
        <v>20</v>
      </c>
      <c r="G57" s="27" t="n">
        <v>-3200</v>
      </c>
      <c r="H57" s="28" t="n">
        <v>1.1484</v>
      </c>
      <c r="I57" s="28" t="n">
        <v>3674.88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0" t="n">
        <v>44700.418159722</v>
      </c>
      <c r="B58" s="2" t="s">
        <v>52</v>
      </c>
      <c r="C58" s="2" t="s">
        <v>665</v>
      </c>
      <c r="D58" s="2" t="s">
        <v>527</v>
      </c>
      <c r="E58" s="2" t="s">
        <v>18</v>
      </c>
      <c r="F58" s="2" t="s">
        <v>20</v>
      </c>
      <c r="G58" s="7" t="n">
        <v>100</v>
      </c>
      <c r="H58" s="6" t="n">
        <v>36.4</v>
      </c>
      <c r="I58" s="6" t="n">
        <v>-3640</v>
      </c>
      <c r="J58" s="6" t="n">
        <v>0</v>
      </c>
      <c r="K58" s="6" t="n">
        <v>-2.18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44705</v>
      </c>
      <c r="B59" s="22" t="s">
        <v>645</v>
      </c>
      <c r="C59" s="22" t="s">
        <v>257</v>
      </c>
      <c r="D59" s="22" t="s">
        <v>645</v>
      </c>
      <c r="E59" s="22" t="s">
        <v>645</v>
      </c>
      <c r="F59" s="22" t="s">
        <v>20</v>
      </c>
      <c r="G59" s="23" t="n">
        <v>1</v>
      </c>
      <c r="H59" s="24" t="n">
        <v>1318</v>
      </c>
      <c r="I59" s="24" t="n">
        <v>1318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44705.427314815</v>
      </c>
      <c r="B60" s="26" t="s">
        <v>133</v>
      </c>
      <c r="C60" s="26" t="s">
        <v>656</v>
      </c>
      <c r="D60" s="26" t="s">
        <v>528</v>
      </c>
      <c r="E60" s="26" t="s">
        <v>124</v>
      </c>
      <c r="F60" s="26" t="s">
        <v>20</v>
      </c>
      <c r="G60" s="27" t="n">
        <v>-1800</v>
      </c>
      <c r="H60" s="28" t="n">
        <v>1.1495</v>
      </c>
      <c r="I60" s="28" t="n">
        <v>2069.1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0" t="n">
        <v>44706.737361111</v>
      </c>
      <c r="B61" s="2" t="s">
        <v>128</v>
      </c>
      <c r="C61" s="2" t="s">
        <v>657</v>
      </c>
      <c r="D61" s="2" t="s">
        <v>527</v>
      </c>
      <c r="E61" s="2" t="s">
        <v>124</v>
      </c>
      <c r="F61" s="2" t="s">
        <v>20</v>
      </c>
      <c r="G61" s="7" t="n">
        <v>600</v>
      </c>
      <c r="H61" s="6" t="n">
        <v>0.943684</v>
      </c>
      <c r="I61" s="6" t="n">
        <v>-566.22</v>
      </c>
      <c r="J61" s="6" t="n">
        <v>0</v>
      </c>
      <c r="K61" s="6" t="n">
        <v>-0.07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44707.417893519</v>
      </c>
      <c r="B62" s="2" t="s">
        <v>80</v>
      </c>
      <c r="C62" s="2" t="s">
        <v>666</v>
      </c>
      <c r="D62" s="2" t="s">
        <v>527</v>
      </c>
      <c r="E62" s="2" t="s">
        <v>18</v>
      </c>
      <c r="F62" s="2" t="s">
        <v>20</v>
      </c>
      <c r="G62" s="7" t="n">
        <v>1000</v>
      </c>
      <c r="H62" s="6" t="n">
        <v>1.235</v>
      </c>
      <c r="I62" s="6" t="n">
        <v>-1235</v>
      </c>
      <c r="J62" s="6" t="n">
        <v>0</v>
      </c>
      <c r="K62" s="6" t="n">
        <v>-0.74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44707.745868056</v>
      </c>
      <c r="B63" s="2" t="s">
        <v>133</v>
      </c>
      <c r="C63" s="2" t="s">
        <v>656</v>
      </c>
      <c r="D63" s="2" t="s">
        <v>527</v>
      </c>
      <c r="E63" s="2" t="s">
        <v>124</v>
      </c>
      <c r="F63" s="2" t="s">
        <v>20</v>
      </c>
      <c r="G63" s="7" t="n">
        <v>1750</v>
      </c>
      <c r="H63" s="6" t="n">
        <v>1.1512</v>
      </c>
      <c r="I63" s="6" t="n">
        <v>-2014.6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5" t="n">
        <v>44712.613900463</v>
      </c>
      <c r="B64" s="26" t="s">
        <v>133</v>
      </c>
      <c r="C64" s="26" t="s">
        <v>656</v>
      </c>
      <c r="D64" s="26" t="s">
        <v>528</v>
      </c>
      <c r="E64" s="26" t="s">
        <v>124</v>
      </c>
      <c r="F64" s="26" t="s">
        <v>20</v>
      </c>
      <c r="G64" s="27" t="n">
        <v>-800</v>
      </c>
      <c r="H64" s="28" t="n">
        <v>1.152</v>
      </c>
      <c r="I64" s="28" t="n">
        <v>921.6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44713.4203125</v>
      </c>
      <c r="B65" s="26" t="s">
        <v>133</v>
      </c>
      <c r="C65" s="26" t="s">
        <v>656</v>
      </c>
      <c r="D65" s="26" t="s">
        <v>528</v>
      </c>
      <c r="E65" s="26" t="s">
        <v>124</v>
      </c>
      <c r="F65" s="26" t="s">
        <v>20</v>
      </c>
      <c r="G65" s="27" t="n">
        <v>-100</v>
      </c>
      <c r="H65" s="28" t="n">
        <v>1.1523</v>
      </c>
      <c r="I65" s="28" t="n">
        <v>115.23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0" t="n">
        <v>44714.448391204</v>
      </c>
      <c r="B66" s="2" t="s">
        <v>100</v>
      </c>
      <c r="C66" s="2" t="s">
        <v>667</v>
      </c>
      <c r="D66" s="2" t="s">
        <v>527</v>
      </c>
      <c r="E66" s="2" t="s">
        <v>18</v>
      </c>
      <c r="F66" s="2" t="s">
        <v>20</v>
      </c>
      <c r="G66" s="7" t="n">
        <v>10000</v>
      </c>
      <c r="H66" s="6" t="n">
        <v>0.09294</v>
      </c>
      <c r="I66" s="6" t="n">
        <v>-929.4</v>
      </c>
      <c r="J66" s="6" t="n">
        <v>0</v>
      </c>
      <c r="K66" s="6" t="n">
        <v>-0.55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5" t="n">
        <v>44714.461550926</v>
      </c>
      <c r="B67" s="26" t="s">
        <v>133</v>
      </c>
      <c r="C67" s="26" t="s">
        <v>656</v>
      </c>
      <c r="D67" s="26" t="s">
        <v>528</v>
      </c>
      <c r="E67" s="26" t="s">
        <v>124</v>
      </c>
      <c r="F67" s="26" t="s">
        <v>20</v>
      </c>
      <c r="G67" s="27" t="n">
        <v>-950</v>
      </c>
      <c r="H67" s="28" t="n">
        <v>1.1533052631579</v>
      </c>
      <c r="I67" s="28" t="n">
        <v>1095.64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0" t="n">
        <v>44715.418506944</v>
      </c>
      <c r="B68" s="2" t="s">
        <v>98</v>
      </c>
      <c r="C68" s="2" t="s">
        <v>668</v>
      </c>
      <c r="D68" s="2" t="s">
        <v>527</v>
      </c>
      <c r="E68" s="2" t="s">
        <v>18</v>
      </c>
      <c r="F68" s="2" t="s">
        <v>20</v>
      </c>
      <c r="G68" s="7" t="n">
        <v>1</v>
      </c>
      <c r="H68" s="6" t="n">
        <v>813.8</v>
      </c>
      <c r="I68" s="6" t="n">
        <v>-813.8</v>
      </c>
      <c r="J68" s="6" t="n">
        <v>0</v>
      </c>
      <c r="K68" s="6" t="n">
        <v>-0.49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44715.690555556</v>
      </c>
      <c r="B69" s="2" t="s">
        <v>131</v>
      </c>
      <c r="C69" s="2" t="s">
        <v>654</v>
      </c>
      <c r="D69" s="2" t="s">
        <v>527</v>
      </c>
      <c r="E69" s="2" t="s">
        <v>124</v>
      </c>
      <c r="F69" s="2" t="s">
        <v>20</v>
      </c>
      <c r="G69" s="7" t="n">
        <v>1</v>
      </c>
      <c r="H69" s="6" t="n">
        <v>89</v>
      </c>
      <c r="I69" s="6" t="n">
        <v>-89</v>
      </c>
      <c r="J69" s="6" t="n">
        <v>0</v>
      </c>
      <c r="K69" s="6" t="n">
        <v>-0.02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1" t="n">
        <v>44721</v>
      </c>
      <c r="B70" s="22" t="s">
        <v>645</v>
      </c>
      <c r="C70" s="22" t="s">
        <v>257</v>
      </c>
      <c r="D70" s="22" t="s">
        <v>645</v>
      </c>
      <c r="E70" s="22" t="s">
        <v>645</v>
      </c>
      <c r="F70" s="22" t="s">
        <v>20</v>
      </c>
      <c r="G70" s="23" t="n">
        <v>1</v>
      </c>
      <c r="H70" s="24" t="n">
        <v>41</v>
      </c>
      <c r="I70" s="24" t="n">
        <v>41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4"/>
      <c r="O70" s="22"/>
    </row>
    <row collapsed="false" customFormat="false" customHeight="false" hidden="false" ht="12.1" outlineLevel="0" r="71">
      <c r="A71" s="20" t="n">
        <v>44722.605104167</v>
      </c>
      <c r="B71" s="2" t="s">
        <v>128</v>
      </c>
      <c r="C71" s="2" t="s">
        <v>657</v>
      </c>
      <c r="D71" s="2" t="s">
        <v>527</v>
      </c>
      <c r="E71" s="2" t="s">
        <v>124</v>
      </c>
      <c r="F71" s="2" t="s">
        <v>20</v>
      </c>
      <c r="G71" s="7" t="n">
        <v>200</v>
      </c>
      <c r="H71" s="6" t="n">
        <v>0.9185</v>
      </c>
      <c r="I71" s="6" t="n">
        <v>-183.7</v>
      </c>
      <c r="J71" s="6" t="n">
        <v>0</v>
      </c>
      <c r="K71" s="6" t="n">
        <v>-0.02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5" t="n">
        <v>44726.518321759</v>
      </c>
      <c r="B72" s="26" t="s">
        <v>80</v>
      </c>
      <c r="C72" s="26" t="s">
        <v>666</v>
      </c>
      <c r="D72" s="26" t="s">
        <v>528</v>
      </c>
      <c r="E72" s="26" t="s">
        <v>18</v>
      </c>
      <c r="F72" s="26" t="s">
        <v>20</v>
      </c>
      <c r="G72" s="27" t="n">
        <v>-1000</v>
      </c>
      <c r="H72" s="28" t="n">
        <v>1.518</v>
      </c>
      <c r="I72" s="28" t="n">
        <v>1518</v>
      </c>
      <c r="J72" s="28" t="n">
        <v>0</v>
      </c>
      <c r="K72" s="28" t="n">
        <v>-0.91</v>
      </c>
      <c r="L72" s="28" t="n">
        <v>0</v>
      </c>
      <c r="M72" s="6" t="s">
        <f>=I72+J72+K72+L72</f>
      </c>
      <c r="N72" s="28"/>
      <c r="O72" s="26"/>
    </row>
    <row collapsed="false" customFormat="false" customHeight="false" hidden="false" ht="12.1" outlineLevel="0" r="73">
      <c r="A73" s="20" t="n">
        <v>44726.520011574</v>
      </c>
      <c r="B73" s="2" t="s">
        <v>133</v>
      </c>
      <c r="C73" s="2" t="s">
        <v>656</v>
      </c>
      <c r="D73" s="2" t="s">
        <v>527</v>
      </c>
      <c r="E73" s="2" t="s">
        <v>124</v>
      </c>
      <c r="F73" s="2" t="s">
        <v>20</v>
      </c>
      <c r="G73" s="7" t="n">
        <v>1320</v>
      </c>
      <c r="H73" s="6" t="n">
        <v>1.1565</v>
      </c>
      <c r="I73" s="6" t="n">
        <v>-1526.58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44726.591053241</v>
      </c>
      <c r="B74" s="2" t="s">
        <v>128</v>
      </c>
      <c r="C74" s="2" t="s">
        <v>657</v>
      </c>
      <c r="D74" s="2" t="s">
        <v>527</v>
      </c>
      <c r="E74" s="2" t="s">
        <v>124</v>
      </c>
      <c r="F74" s="2" t="s">
        <v>20</v>
      </c>
      <c r="G74" s="7" t="n">
        <v>220</v>
      </c>
      <c r="H74" s="6" t="n">
        <v>0.89951818181818</v>
      </c>
      <c r="I74" s="6" t="n">
        <v>-197.89</v>
      </c>
      <c r="J74" s="6" t="n">
        <v>0</v>
      </c>
      <c r="K74" s="6" t="n">
        <v>-0.04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5" t="n">
        <v>44727.583043981</v>
      </c>
      <c r="B75" s="26" t="s">
        <v>133</v>
      </c>
      <c r="C75" s="26" t="s">
        <v>656</v>
      </c>
      <c r="D75" s="26" t="s">
        <v>528</v>
      </c>
      <c r="E75" s="26" t="s">
        <v>124</v>
      </c>
      <c r="F75" s="26" t="s">
        <v>20</v>
      </c>
      <c r="G75" s="27" t="n">
        <v>-600</v>
      </c>
      <c r="H75" s="28" t="n">
        <v>1.1567</v>
      </c>
      <c r="I75" s="28" t="n">
        <v>694.03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8"/>
      <c r="O75" s="26"/>
    </row>
    <row collapsed="false" customFormat="false" customHeight="false" hidden="false" ht="12.1" outlineLevel="0" r="76">
      <c r="A76" s="20" t="n">
        <v>44727.584027778</v>
      </c>
      <c r="B76" s="2" t="s">
        <v>74</v>
      </c>
      <c r="C76" s="2" t="s">
        <v>660</v>
      </c>
      <c r="D76" s="2" t="s">
        <v>527</v>
      </c>
      <c r="E76" s="2" t="s">
        <v>18</v>
      </c>
      <c r="F76" s="2" t="s">
        <v>20</v>
      </c>
      <c r="G76" s="7" t="n">
        <v>10</v>
      </c>
      <c r="H76" s="6" t="n">
        <v>66.45</v>
      </c>
      <c r="I76" s="6" t="n">
        <v>-664.5</v>
      </c>
      <c r="J76" s="6" t="n">
        <v>0</v>
      </c>
      <c r="K76" s="6" t="n">
        <v>-0.4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44727.603854167</v>
      </c>
      <c r="B77" s="2" t="s">
        <v>133</v>
      </c>
      <c r="C77" s="2" t="s">
        <v>656</v>
      </c>
      <c r="D77" s="2" t="s">
        <v>527</v>
      </c>
      <c r="E77" s="2" t="s">
        <v>124</v>
      </c>
      <c r="F77" s="2" t="s">
        <v>20</v>
      </c>
      <c r="G77" s="7" t="n">
        <v>20</v>
      </c>
      <c r="H77" s="6" t="n">
        <v>1.1568</v>
      </c>
      <c r="I77" s="6" t="n">
        <v>-23.14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44734.491261574</v>
      </c>
      <c r="B78" s="26" t="s">
        <v>133</v>
      </c>
      <c r="C78" s="26" t="s">
        <v>656</v>
      </c>
      <c r="D78" s="26" t="s">
        <v>528</v>
      </c>
      <c r="E78" s="26" t="s">
        <v>124</v>
      </c>
      <c r="F78" s="26" t="s">
        <v>20</v>
      </c>
      <c r="G78" s="27" t="n">
        <v>-390</v>
      </c>
      <c r="H78" s="28" t="n">
        <v>1.1588</v>
      </c>
      <c r="I78" s="28" t="n">
        <v>451.93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44734.491458333</v>
      </c>
      <c r="B79" s="2" t="s">
        <v>102</v>
      </c>
      <c r="C79" s="2" t="s">
        <v>669</v>
      </c>
      <c r="D79" s="2" t="s">
        <v>527</v>
      </c>
      <c r="E79" s="2" t="s">
        <v>18</v>
      </c>
      <c r="F79" s="2" t="s">
        <v>20</v>
      </c>
      <c r="G79" s="7" t="n">
        <v>10</v>
      </c>
      <c r="H79" s="6" t="n">
        <v>43.98</v>
      </c>
      <c r="I79" s="6" t="n">
        <v>-439.8</v>
      </c>
      <c r="J79" s="6" t="n">
        <v>0</v>
      </c>
      <c r="K79" s="6" t="n">
        <v>-0.27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1" t="n">
        <v>44739</v>
      </c>
      <c r="B80" s="22" t="s">
        <v>645</v>
      </c>
      <c r="C80" s="22" t="s">
        <v>257</v>
      </c>
      <c r="D80" s="22" t="s">
        <v>645</v>
      </c>
      <c r="E80" s="22" t="s">
        <v>645</v>
      </c>
      <c r="F80" s="22" t="s">
        <v>20</v>
      </c>
      <c r="G80" s="23" t="n">
        <v>1</v>
      </c>
      <c r="H80" s="24" t="n">
        <v>143</v>
      </c>
      <c r="I80" s="24" t="n">
        <v>143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0" t="n">
        <v>44739.598090278</v>
      </c>
      <c r="B81" s="2" t="s">
        <v>133</v>
      </c>
      <c r="C81" s="2" t="s">
        <v>656</v>
      </c>
      <c r="D81" s="2" t="s">
        <v>527</v>
      </c>
      <c r="E81" s="2" t="s">
        <v>124</v>
      </c>
      <c r="F81" s="2" t="s">
        <v>20</v>
      </c>
      <c r="G81" s="7" t="n">
        <v>150</v>
      </c>
      <c r="H81" s="6" t="n">
        <v>1.1599866666667</v>
      </c>
      <c r="I81" s="6" t="n">
        <v>-174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44740</v>
      </c>
      <c r="B82" s="22" t="s">
        <v>645</v>
      </c>
      <c r="C82" s="22" t="s">
        <v>257</v>
      </c>
      <c r="D82" s="22" t="s">
        <v>645</v>
      </c>
      <c r="E82" s="22" t="s">
        <v>645</v>
      </c>
      <c r="F82" s="22" t="s">
        <v>20</v>
      </c>
      <c r="G82" s="23" t="n">
        <v>1</v>
      </c>
      <c r="H82" s="24" t="n">
        <v>79.72</v>
      </c>
      <c r="I82" s="24" t="n">
        <v>79.72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5" t="n">
        <v>44740.759710648</v>
      </c>
      <c r="B83" s="26" t="s">
        <v>133</v>
      </c>
      <c r="C83" s="26" t="s">
        <v>656</v>
      </c>
      <c r="D83" s="26" t="s">
        <v>528</v>
      </c>
      <c r="E83" s="26" t="s">
        <v>124</v>
      </c>
      <c r="F83" s="26" t="s">
        <v>20</v>
      </c>
      <c r="G83" s="27" t="n">
        <v>-650</v>
      </c>
      <c r="H83" s="28" t="n">
        <v>1.1601</v>
      </c>
      <c r="I83" s="28" t="n">
        <v>754.07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8"/>
      <c r="O83" s="26"/>
    </row>
    <row collapsed="false" customFormat="false" customHeight="false" hidden="false" ht="12.1" outlineLevel="0" r="84">
      <c r="A84" s="20" t="n">
        <v>44740.759988426</v>
      </c>
      <c r="B84" s="2" t="s">
        <v>106</v>
      </c>
      <c r="C84" s="2" t="s">
        <v>670</v>
      </c>
      <c r="D84" s="2" t="s">
        <v>527</v>
      </c>
      <c r="E84" s="2" t="s">
        <v>18</v>
      </c>
      <c r="F84" s="2" t="s">
        <v>20</v>
      </c>
      <c r="G84" s="7" t="n">
        <v>1</v>
      </c>
      <c r="H84" s="6" t="n">
        <v>794.6</v>
      </c>
      <c r="I84" s="6" t="n">
        <v>-794.6</v>
      </c>
      <c r="J84" s="6" t="n">
        <v>0</v>
      </c>
      <c r="K84" s="6" t="n">
        <v>-0.48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44740.760196759</v>
      </c>
      <c r="B85" s="2" t="s">
        <v>133</v>
      </c>
      <c r="C85" s="2" t="s">
        <v>656</v>
      </c>
      <c r="D85" s="2" t="s">
        <v>527</v>
      </c>
      <c r="E85" s="2" t="s">
        <v>124</v>
      </c>
      <c r="F85" s="2" t="s">
        <v>20</v>
      </c>
      <c r="G85" s="7" t="n">
        <v>35</v>
      </c>
      <c r="H85" s="6" t="n">
        <v>1.1602</v>
      </c>
      <c r="I85" s="6" t="n">
        <v>-40.61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5" t="n">
        <v>44742.513483796</v>
      </c>
      <c r="B86" s="26" t="s">
        <v>133</v>
      </c>
      <c r="C86" s="26" t="s">
        <v>656</v>
      </c>
      <c r="D86" s="26" t="s">
        <v>528</v>
      </c>
      <c r="E86" s="26" t="s">
        <v>124</v>
      </c>
      <c r="F86" s="26" t="s">
        <v>20</v>
      </c>
      <c r="G86" s="27" t="n">
        <v>-85</v>
      </c>
      <c r="H86" s="28" t="n">
        <v>1.1613</v>
      </c>
      <c r="I86" s="28" t="n">
        <v>98.71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8"/>
      <c r="O86" s="26"/>
    </row>
    <row collapsed="false" customFormat="false" customHeight="false" hidden="false" ht="12.1" outlineLevel="0" r="87">
      <c r="A87" s="20" t="n">
        <v>44742.513946759</v>
      </c>
      <c r="B87" s="2" t="s">
        <v>131</v>
      </c>
      <c r="C87" s="2" t="s">
        <v>654</v>
      </c>
      <c r="D87" s="2" t="s">
        <v>527</v>
      </c>
      <c r="E87" s="2" t="s">
        <v>124</v>
      </c>
      <c r="F87" s="2" t="s">
        <v>20</v>
      </c>
      <c r="G87" s="7" t="n">
        <v>1</v>
      </c>
      <c r="H87" s="6" t="n">
        <v>87.8</v>
      </c>
      <c r="I87" s="6" t="n">
        <v>-87.8</v>
      </c>
      <c r="J87" s="6" t="n">
        <v>0</v>
      </c>
      <c r="K87" s="6" t="n">
        <v>-0.02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44743</v>
      </c>
      <c r="B88" s="22" t="s">
        <v>645</v>
      </c>
      <c r="C88" s="22" t="s">
        <v>257</v>
      </c>
      <c r="D88" s="22" t="s">
        <v>645</v>
      </c>
      <c r="E88" s="22" t="s">
        <v>645</v>
      </c>
      <c r="F88" s="22" t="s">
        <v>20</v>
      </c>
      <c r="G88" s="23" t="n">
        <v>1</v>
      </c>
      <c r="H88" s="24" t="n">
        <v>99.24</v>
      </c>
      <c r="I88" s="24" t="n">
        <v>99.24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1" t="n">
        <v>44746</v>
      </c>
      <c r="B89" s="22" t="s">
        <v>645</v>
      </c>
      <c r="C89" s="22" t="s">
        <v>257</v>
      </c>
      <c r="D89" s="22" t="s">
        <v>645</v>
      </c>
      <c r="E89" s="22" t="s">
        <v>645</v>
      </c>
      <c r="F89" s="22" t="s">
        <v>20</v>
      </c>
      <c r="G89" s="23" t="n">
        <v>1</v>
      </c>
      <c r="H89" s="24" t="n">
        <v>1200</v>
      </c>
      <c r="I89" s="24" t="n">
        <v>1200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4"/>
      <c r="O89" s="22"/>
    </row>
    <row collapsed="false" customFormat="false" customHeight="false" hidden="false" ht="12.1" outlineLevel="0" r="90">
      <c r="A90" s="20" t="n">
        <v>44746.472962963</v>
      </c>
      <c r="B90" s="2" t="s">
        <v>114</v>
      </c>
      <c r="C90" s="2" t="s">
        <v>671</v>
      </c>
      <c r="D90" s="2" t="s">
        <v>527</v>
      </c>
      <c r="E90" s="2" t="s">
        <v>18</v>
      </c>
      <c r="F90" s="2" t="s">
        <v>20</v>
      </c>
      <c r="G90" s="7" t="n">
        <v>10</v>
      </c>
      <c r="H90" s="6" t="n">
        <v>32</v>
      </c>
      <c r="I90" s="6" t="n">
        <v>-320</v>
      </c>
      <c r="J90" s="6" t="n">
        <v>0</v>
      </c>
      <c r="K90" s="6" t="n">
        <v>-0.19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44746.781261574</v>
      </c>
      <c r="B91" s="2" t="s">
        <v>74</v>
      </c>
      <c r="C91" s="2" t="s">
        <v>660</v>
      </c>
      <c r="D91" s="2" t="s">
        <v>527</v>
      </c>
      <c r="E91" s="2" t="s">
        <v>18</v>
      </c>
      <c r="F91" s="2" t="s">
        <v>20</v>
      </c>
      <c r="G91" s="7" t="n">
        <v>10</v>
      </c>
      <c r="H91" s="6" t="n">
        <v>64.55</v>
      </c>
      <c r="I91" s="6" t="n">
        <v>-645.5</v>
      </c>
      <c r="J91" s="6" t="n">
        <v>0</v>
      </c>
      <c r="K91" s="6" t="n">
        <v>-0.39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1" t="n">
        <v>44748</v>
      </c>
      <c r="B92" s="22" t="s">
        <v>645</v>
      </c>
      <c r="C92" s="22" t="s">
        <v>257</v>
      </c>
      <c r="D92" s="22" t="s">
        <v>645</v>
      </c>
      <c r="E92" s="22" t="s">
        <v>645</v>
      </c>
      <c r="F92" s="22" t="s">
        <v>20</v>
      </c>
      <c r="G92" s="23" t="n">
        <v>1</v>
      </c>
      <c r="H92" s="24" t="n">
        <v>56.88</v>
      </c>
      <c r="I92" s="24" t="n">
        <v>56.88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4"/>
      <c r="O92" s="22"/>
    </row>
    <row collapsed="false" customFormat="false" customHeight="false" hidden="false" ht="12.1" outlineLevel="0" r="93">
      <c r="A93" s="20" t="n">
        <v>44749.447314815</v>
      </c>
      <c r="B93" s="2" t="s">
        <v>133</v>
      </c>
      <c r="C93" s="2" t="s">
        <v>656</v>
      </c>
      <c r="D93" s="2" t="s">
        <v>527</v>
      </c>
      <c r="E93" s="2" t="s">
        <v>124</v>
      </c>
      <c r="F93" s="2" t="s">
        <v>20</v>
      </c>
      <c r="G93" s="7" t="n">
        <v>350</v>
      </c>
      <c r="H93" s="6" t="n">
        <v>1.1635</v>
      </c>
      <c r="I93" s="6" t="n">
        <v>-407.23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1" t="n">
        <v>44756</v>
      </c>
      <c r="B94" s="22" t="s">
        <v>645</v>
      </c>
      <c r="C94" s="22" t="s">
        <v>257</v>
      </c>
      <c r="D94" s="22" t="s">
        <v>645</v>
      </c>
      <c r="E94" s="22" t="s">
        <v>645</v>
      </c>
      <c r="F94" s="22" t="s">
        <v>20</v>
      </c>
      <c r="G94" s="23" t="n">
        <v>1</v>
      </c>
      <c r="H94" s="24" t="n">
        <v>680</v>
      </c>
      <c r="I94" s="24" t="n">
        <v>680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4"/>
      <c r="O94" s="22"/>
    </row>
    <row collapsed="false" customFormat="false" customHeight="false" hidden="false" ht="12.1" outlineLevel="0" r="95">
      <c r="A95" s="20" t="n">
        <v>44756.732534722</v>
      </c>
      <c r="B95" s="2" t="s">
        <v>133</v>
      </c>
      <c r="C95" s="2" t="s">
        <v>656</v>
      </c>
      <c r="D95" s="2" t="s">
        <v>527</v>
      </c>
      <c r="E95" s="2" t="s">
        <v>124</v>
      </c>
      <c r="F95" s="2" t="s">
        <v>20</v>
      </c>
      <c r="G95" s="7" t="n">
        <v>580</v>
      </c>
      <c r="H95" s="6" t="n">
        <v>1.1654</v>
      </c>
      <c r="I95" s="6" t="n">
        <v>-675.93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44757</v>
      </c>
      <c r="B96" s="22" t="s">
        <v>645</v>
      </c>
      <c r="C96" s="22" t="s">
        <v>257</v>
      </c>
      <c r="D96" s="22" t="s">
        <v>645</v>
      </c>
      <c r="E96" s="22" t="s">
        <v>645</v>
      </c>
      <c r="F96" s="22" t="s">
        <v>20</v>
      </c>
      <c r="G96" s="23" t="n">
        <v>1</v>
      </c>
      <c r="H96" s="24" t="n">
        <v>1000</v>
      </c>
      <c r="I96" s="24" t="n">
        <v>1000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0" t="n">
        <v>44757.579212963</v>
      </c>
      <c r="B97" s="2" t="s">
        <v>133</v>
      </c>
      <c r="C97" s="2" t="s">
        <v>656</v>
      </c>
      <c r="D97" s="2" t="s">
        <v>527</v>
      </c>
      <c r="E97" s="2" t="s">
        <v>124</v>
      </c>
      <c r="F97" s="2" t="s">
        <v>20</v>
      </c>
      <c r="G97" s="7" t="n">
        <v>850</v>
      </c>
      <c r="H97" s="6" t="n">
        <v>1.1655</v>
      </c>
      <c r="I97" s="6" t="n">
        <v>-990.68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44761.422847222</v>
      </c>
      <c r="B98" s="26" t="s">
        <v>100</v>
      </c>
      <c r="C98" s="26" t="s">
        <v>667</v>
      </c>
      <c r="D98" s="26" t="s">
        <v>528</v>
      </c>
      <c r="E98" s="26" t="s">
        <v>18</v>
      </c>
      <c r="F98" s="26" t="s">
        <v>20</v>
      </c>
      <c r="G98" s="27" t="n">
        <v>-10000</v>
      </c>
      <c r="H98" s="28" t="n">
        <v>0.1029</v>
      </c>
      <c r="I98" s="28" t="n">
        <v>1029</v>
      </c>
      <c r="J98" s="28" t="n">
        <v>0</v>
      </c>
      <c r="K98" s="28" t="n">
        <v>-0.61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5" t="n">
        <v>44761.423576389</v>
      </c>
      <c r="B99" s="26" t="s">
        <v>133</v>
      </c>
      <c r="C99" s="26" t="s">
        <v>656</v>
      </c>
      <c r="D99" s="26" t="s">
        <v>528</v>
      </c>
      <c r="E99" s="26" t="s">
        <v>124</v>
      </c>
      <c r="F99" s="26" t="s">
        <v>20</v>
      </c>
      <c r="G99" s="27" t="n">
        <v>-645</v>
      </c>
      <c r="H99" s="28" t="n">
        <v>1.1659573643411</v>
      </c>
      <c r="I99" s="28" t="n">
        <v>752.04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8"/>
      <c r="O99" s="26"/>
    </row>
    <row collapsed="false" customFormat="false" customHeight="false" hidden="false" ht="12.1" outlineLevel="0" r="100">
      <c r="A100" s="20" t="n">
        <v>44761.423865741</v>
      </c>
      <c r="B100" s="2" t="s">
        <v>80</v>
      </c>
      <c r="C100" s="2" t="s">
        <v>666</v>
      </c>
      <c r="D100" s="2" t="s">
        <v>527</v>
      </c>
      <c r="E100" s="2" t="s">
        <v>18</v>
      </c>
      <c r="F100" s="2" t="s">
        <v>20</v>
      </c>
      <c r="G100" s="7" t="n">
        <v>1000</v>
      </c>
      <c r="H100" s="6" t="n">
        <v>1.428</v>
      </c>
      <c r="I100" s="6" t="n">
        <v>-1428</v>
      </c>
      <c r="J100" s="6" t="n">
        <v>0</v>
      </c>
      <c r="K100" s="6" t="n">
        <v>-0.85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44761.593923611</v>
      </c>
      <c r="B101" s="2" t="s">
        <v>537</v>
      </c>
      <c r="C101" s="2" t="s">
        <v>672</v>
      </c>
      <c r="D101" s="2" t="s">
        <v>527</v>
      </c>
      <c r="E101" s="2" t="s">
        <v>18</v>
      </c>
      <c r="F101" s="2" t="s">
        <v>20</v>
      </c>
      <c r="G101" s="7" t="n">
        <v>10</v>
      </c>
      <c r="H101" s="6" t="n">
        <v>35.18</v>
      </c>
      <c r="I101" s="6" t="n">
        <v>-351.8</v>
      </c>
      <c r="J101" s="6" t="n">
        <v>0</v>
      </c>
      <c r="K101" s="6" t="n">
        <v>-0.21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5" t="n">
        <v>44763.470856481</v>
      </c>
      <c r="B102" s="26" t="s">
        <v>133</v>
      </c>
      <c r="C102" s="26" t="s">
        <v>656</v>
      </c>
      <c r="D102" s="26" t="s">
        <v>528</v>
      </c>
      <c r="E102" s="26" t="s">
        <v>124</v>
      </c>
      <c r="F102" s="26" t="s">
        <v>20</v>
      </c>
      <c r="G102" s="27" t="n">
        <v>-540</v>
      </c>
      <c r="H102" s="28" t="n">
        <v>1.1671</v>
      </c>
      <c r="I102" s="28" t="n">
        <v>630.23</v>
      </c>
      <c r="J102" s="28" t="n">
        <v>0</v>
      </c>
      <c r="K102" s="28" t="n">
        <v>0</v>
      </c>
      <c r="L102" s="28" t="n">
        <v>0</v>
      </c>
      <c r="M102" s="6" t="s">
        <f>=I102+J102+K102+L102</f>
      </c>
      <c r="N102" s="28"/>
      <c r="O102" s="26"/>
    </row>
    <row collapsed="false" customFormat="false" customHeight="false" hidden="false" ht="12.1" outlineLevel="0" r="103">
      <c r="A103" s="20" t="n">
        <v>44763.471076389</v>
      </c>
      <c r="B103" s="2" t="s">
        <v>74</v>
      </c>
      <c r="C103" s="2" t="s">
        <v>660</v>
      </c>
      <c r="D103" s="2" t="s">
        <v>527</v>
      </c>
      <c r="E103" s="2" t="s">
        <v>18</v>
      </c>
      <c r="F103" s="2" t="s">
        <v>20</v>
      </c>
      <c r="G103" s="7" t="n">
        <v>10</v>
      </c>
      <c r="H103" s="6" t="n">
        <v>59.88</v>
      </c>
      <c r="I103" s="6" t="n">
        <v>-598.8</v>
      </c>
      <c r="J103" s="6" t="n">
        <v>0</v>
      </c>
      <c r="K103" s="6" t="n">
        <v>-0.36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44763.47125</v>
      </c>
      <c r="B104" s="2" t="s">
        <v>133</v>
      </c>
      <c r="C104" s="2" t="s">
        <v>656</v>
      </c>
      <c r="D104" s="2" t="s">
        <v>527</v>
      </c>
      <c r="E104" s="2" t="s">
        <v>124</v>
      </c>
      <c r="F104" s="2" t="s">
        <v>20</v>
      </c>
      <c r="G104" s="7" t="n">
        <v>30</v>
      </c>
      <c r="H104" s="6" t="n">
        <v>1.1672</v>
      </c>
      <c r="I104" s="6" t="n">
        <v>-35.02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5" t="n">
        <v>44767.436643519</v>
      </c>
      <c r="B105" s="26" t="s">
        <v>133</v>
      </c>
      <c r="C105" s="26" t="s">
        <v>656</v>
      </c>
      <c r="D105" s="26" t="s">
        <v>528</v>
      </c>
      <c r="E105" s="26" t="s">
        <v>124</v>
      </c>
      <c r="F105" s="26" t="s">
        <v>20</v>
      </c>
      <c r="G105" s="27" t="n">
        <v>-180</v>
      </c>
      <c r="H105" s="28" t="n">
        <v>1.1676</v>
      </c>
      <c r="I105" s="28" t="n">
        <v>210.17</v>
      </c>
      <c r="J105" s="28" t="n">
        <v>0</v>
      </c>
      <c r="K105" s="28" t="n">
        <v>0</v>
      </c>
      <c r="L105" s="28" t="n">
        <v>0</v>
      </c>
      <c r="M105" s="6" t="s">
        <f>=I105+J105+K105+L105</f>
      </c>
      <c r="N105" s="28"/>
      <c r="O105" s="26"/>
    </row>
    <row collapsed="false" customFormat="false" customHeight="false" hidden="false" ht="12.1" outlineLevel="0" r="106">
      <c r="A106" s="20" t="n">
        <v>44767.43693287</v>
      </c>
      <c r="B106" s="2" t="s">
        <v>538</v>
      </c>
      <c r="C106" s="2" t="s">
        <v>673</v>
      </c>
      <c r="D106" s="2" t="s">
        <v>527</v>
      </c>
      <c r="E106" s="2" t="s">
        <v>18</v>
      </c>
      <c r="F106" s="2" t="s">
        <v>20</v>
      </c>
      <c r="G106" s="7" t="n">
        <v>2</v>
      </c>
      <c r="H106" s="6" t="n">
        <v>97.6</v>
      </c>
      <c r="I106" s="6" t="n">
        <v>-195.2</v>
      </c>
      <c r="J106" s="6" t="n">
        <v>0</v>
      </c>
      <c r="K106" s="6" t="n">
        <v>-0.12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5" t="n">
        <v>44767.744467593</v>
      </c>
      <c r="B107" s="26" t="s">
        <v>538</v>
      </c>
      <c r="C107" s="26" t="s">
        <v>673</v>
      </c>
      <c r="D107" s="26" t="s">
        <v>528</v>
      </c>
      <c r="E107" s="26" t="s">
        <v>18</v>
      </c>
      <c r="F107" s="26" t="s">
        <v>20</v>
      </c>
      <c r="G107" s="27" t="n">
        <v>-2</v>
      </c>
      <c r="H107" s="28" t="n">
        <v>99.8</v>
      </c>
      <c r="I107" s="28" t="n">
        <v>199.6</v>
      </c>
      <c r="J107" s="28" t="n">
        <v>0</v>
      </c>
      <c r="K107" s="28" t="n">
        <v>-0.12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0" t="n">
        <v>44767.744722222</v>
      </c>
      <c r="B108" s="2" t="s">
        <v>133</v>
      </c>
      <c r="C108" s="2" t="s">
        <v>656</v>
      </c>
      <c r="D108" s="2" t="s">
        <v>527</v>
      </c>
      <c r="E108" s="2" t="s">
        <v>124</v>
      </c>
      <c r="F108" s="2" t="s">
        <v>20</v>
      </c>
      <c r="G108" s="7" t="n">
        <v>190</v>
      </c>
      <c r="H108" s="6" t="n">
        <v>1.1677</v>
      </c>
      <c r="I108" s="6" t="n">
        <v>-221.87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44768.685439815</v>
      </c>
      <c r="B109" s="2" t="s">
        <v>133</v>
      </c>
      <c r="C109" s="2" t="s">
        <v>656</v>
      </c>
      <c r="D109" s="2" t="s">
        <v>527</v>
      </c>
      <c r="E109" s="2" t="s">
        <v>124</v>
      </c>
      <c r="F109" s="2" t="s">
        <v>20</v>
      </c>
      <c r="G109" s="7" t="n">
        <v>18</v>
      </c>
      <c r="H109" s="6" t="n">
        <v>1.1679</v>
      </c>
      <c r="I109" s="6" t="n">
        <v>-21.02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44771.665601852</v>
      </c>
      <c r="B110" s="26" t="s">
        <v>133</v>
      </c>
      <c r="C110" s="26" t="s">
        <v>656</v>
      </c>
      <c r="D110" s="26" t="s">
        <v>528</v>
      </c>
      <c r="E110" s="26" t="s">
        <v>124</v>
      </c>
      <c r="F110" s="26" t="s">
        <v>20</v>
      </c>
      <c r="G110" s="27" t="n">
        <v>-320</v>
      </c>
      <c r="H110" s="28" t="n">
        <v>1.169</v>
      </c>
      <c r="I110" s="28" t="n">
        <v>374.08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44771.665798611</v>
      </c>
      <c r="B111" s="2" t="s">
        <v>17</v>
      </c>
      <c r="C111" s="2" t="s">
        <v>646</v>
      </c>
      <c r="D111" s="2" t="s">
        <v>527</v>
      </c>
      <c r="E111" s="2" t="s">
        <v>18</v>
      </c>
      <c r="F111" s="2" t="s">
        <v>20</v>
      </c>
      <c r="G111" s="7" t="n">
        <v>1</v>
      </c>
      <c r="H111" s="6" t="n">
        <v>349.5</v>
      </c>
      <c r="I111" s="6" t="n">
        <v>-349.5</v>
      </c>
      <c r="J111" s="6" t="n">
        <v>0</v>
      </c>
      <c r="K111" s="6" t="n">
        <v>-0.2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44771.665972222</v>
      </c>
      <c r="B112" s="2" t="s">
        <v>133</v>
      </c>
      <c r="C112" s="2" t="s">
        <v>656</v>
      </c>
      <c r="D112" s="2" t="s">
        <v>527</v>
      </c>
      <c r="E112" s="2" t="s">
        <v>124</v>
      </c>
      <c r="F112" s="2" t="s">
        <v>20</v>
      </c>
      <c r="G112" s="7" t="n">
        <v>20</v>
      </c>
      <c r="H112" s="6" t="n">
        <v>1.1691</v>
      </c>
      <c r="I112" s="6" t="n">
        <v>-23.38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5" t="n">
        <v>44774.613668981</v>
      </c>
      <c r="B113" s="26" t="s">
        <v>133</v>
      </c>
      <c r="C113" s="26" t="s">
        <v>656</v>
      </c>
      <c r="D113" s="26" t="s">
        <v>528</v>
      </c>
      <c r="E113" s="26" t="s">
        <v>124</v>
      </c>
      <c r="F113" s="26" t="s">
        <v>20</v>
      </c>
      <c r="G113" s="27" t="n">
        <v>-280</v>
      </c>
      <c r="H113" s="28" t="n">
        <v>1.1695</v>
      </c>
      <c r="I113" s="28" t="n">
        <v>327.46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6"/>
    </row>
    <row collapsed="false" customFormat="false" customHeight="false" hidden="false" ht="12.1" outlineLevel="0" r="114">
      <c r="A114" s="25" t="n">
        <v>44776.778981481</v>
      </c>
      <c r="B114" s="26" t="s">
        <v>133</v>
      </c>
      <c r="C114" s="26" t="s">
        <v>656</v>
      </c>
      <c r="D114" s="26" t="s">
        <v>528</v>
      </c>
      <c r="E114" s="26" t="s">
        <v>124</v>
      </c>
      <c r="F114" s="26" t="s">
        <v>20</v>
      </c>
      <c r="G114" s="27" t="n">
        <v>-60</v>
      </c>
      <c r="H114" s="28" t="n">
        <v>1.17</v>
      </c>
      <c r="I114" s="28" t="n">
        <v>70.2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44776.781261574</v>
      </c>
      <c r="B115" s="2" t="s">
        <v>40</v>
      </c>
      <c r="C115" s="2" t="s">
        <v>674</v>
      </c>
      <c r="D115" s="2" t="s">
        <v>527</v>
      </c>
      <c r="E115" s="2" t="s">
        <v>18</v>
      </c>
      <c r="F115" s="2" t="s">
        <v>20</v>
      </c>
      <c r="G115" s="7" t="n">
        <v>1</v>
      </c>
      <c r="H115" s="6" t="n">
        <v>383.7</v>
      </c>
      <c r="I115" s="6" t="n">
        <v>-383.7</v>
      </c>
      <c r="J115" s="6" t="n">
        <v>0</v>
      </c>
      <c r="K115" s="6" t="n">
        <v>-0.23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0" t="n">
        <v>44777.526585648</v>
      </c>
      <c r="B116" s="2" t="s">
        <v>133</v>
      </c>
      <c r="C116" s="2" t="s">
        <v>656</v>
      </c>
      <c r="D116" s="2" t="s">
        <v>527</v>
      </c>
      <c r="E116" s="2" t="s">
        <v>124</v>
      </c>
      <c r="F116" s="2" t="s">
        <v>20</v>
      </c>
      <c r="G116" s="7" t="n">
        <v>94</v>
      </c>
      <c r="H116" s="6" t="n">
        <v>1.170770212766</v>
      </c>
      <c r="I116" s="6" t="n">
        <v>-110.05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44777.663391204</v>
      </c>
      <c r="B117" s="2" t="s">
        <v>88</v>
      </c>
      <c r="C117" s="2" t="s">
        <v>653</v>
      </c>
      <c r="D117" s="2" t="s">
        <v>527</v>
      </c>
      <c r="E117" s="2" t="s">
        <v>18</v>
      </c>
      <c r="F117" s="2" t="s">
        <v>20</v>
      </c>
      <c r="G117" s="7" t="n">
        <v>100</v>
      </c>
      <c r="H117" s="6" t="n">
        <v>3.1215</v>
      </c>
      <c r="I117" s="6" t="n">
        <v>-312.15</v>
      </c>
      <c r="J117" s="6" t="n">
        <v>0</v>
      </c>
      <c r="K117" s="6" t="n">
        <v>-0.19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1" t="n">
        <v>44788</v>
      </c>
      <c r="B118" s="22" t="s">
        <v>645</v>
      </c>
      <c r="C118" s="22" t="s">
        <v>257</v>
      </c>
      <c r="D118" s="22" t="s">
        <v>645</v>
      </c>
      <c r="E118" s="22" t="s">
        <v>645</v>
      </c>
      <c r="F118" s="22" t="s">
        <v>20</v>
      </c>
      <c r="G118" s="23" t="n">
        <v>1</v>
      </c>
      <c r="H118" s="24" t="n">
        <v>200</v>
      </c>
      <c r="I118" s="24" t="n">
        <v>200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0" t="n">
        <v>44788.630381944</v>
      </c>
      <c r="B119" s="2" t="s">
        <v>133</v>
      </c>
      <c r="C119" s="2" t="s">
        <v>656</v>
      </c>
      <c r="D119" s="2" t="s">
        <v>527</v>
      </c>
      <c r="E119" s="2" t="s">
        <v>124</v>
      </c>
      <c r="F119" s="2" t="s">
        <v>20</v>
      </c>
      <c r="G119" s="7" t="n">
        <v>175</v>
      </c>
      <c r="H119" s="6" t="n">
        <v>1.1729</v>
      </c>
      <c r="I119" s="6" t="n">
        <v>-205.25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6"/>
      <c r="O119" s="2"/>
    </row>
    <row collapsed="false" customFormat="false" customHeight="false" hidden="false" ht="12.1" outlineLevel="0" r="120">
      <c r="A120" s="25" t="n">
        <v>44789.713888889</v>
      </c>
      <c r="B120" s="26" t="s">
        <v>86</v>
      </c>
      <c r="C120" s="26" t="s">
        <v>662</v>
      </c>
      <c r="D120" s="26" t="s">
        <v>528</v>
      </c>
      <c r="E120" s="26" t="s">
        <v>18</v>
      </c>
      <c r="F120" s="26" t="s">
        <v>20</v>
      </c>
      <c r="G120" s="27" t="n">
        <v>-1</v>
      </c>
      <c r="H120" s="28" t="n">
        <v>1158</v>
      </c>
      <c r="I120" s="28" t="n">
        <v>1158</v>
      </c>
      <c r="J120" s="28" t="n">
        <v>0</v>
      </c>
      <c r="K120" s="28" t="n">
        <v>-0.7</v>
      </c>
      <c r="L120" s="28" t="n">
        <v>0</v>
      </c>
      <c r="M120" s="6" t="s">
        <f>=I120+J120+K120+L120</f>
      </c>
      <c r="N120" s="28"/>
      <c r="O120" s="26"/>
    </row>
    <row collapsed="false" customFormat="false" customHeight="false" hidden="false" ht="12.1" outlineLevel="0" r="121">
      <c r="A121" s="20" t="n">
        <v>44789.71474537</v>
      </c>
      <c r="B121" s="2" t="s">
        <v>133</v>
      </c>
      <c r="C121" s="2" t="s">
        <v>656</v>
      </c>
      <c r="D121" s="2" t="s">
        <v>527</v>
      </c>
      <c r="E121" s="2" t="s">
        <v>124</v>
      </c>
      <c r="F121" s="2" t="s">
        <v>20</v>
      </c>
      <c r="G121" s="7" t="n">
        <v>985</v>
      </c>
      <c r="H121" s="6" t="n">
        <v>1.173</v>
      </c>
      <c r="I121" s="6" t="n">
        <v>-1155.41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44791.486493056</v>
      </c>
      <c r="B122" s="26" t="s">
        <v>133</v>
      </c>
      <c r="C122" s="26" t="s">
        <v>656</v>
      </c>
      <c r="D122" s="26" t="s">
        <v>528</v>
      </c>
      <c r="E122" s="26" t="s">
        <v>124</v>
      </c>
      <c r="F122" s="26" t="s">
        <v>20</v>
      </c>
      <c r="G122" s="27" t="n">
        <v>-520</v>
      </c>
      <c r="H122" s="28" t="n">
        <v>1.174</v>
      </c>
      <c r="I122" s="28" t="n">
        <v>610.48</v>
      </c>
      <c r="J122" s="28" t="n">
        <v>0</v>
      </c>
      <c r="K122" s="28" t="n">
        <v>0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0" t="n">
        <v>44791.486805556</v>
      </c>
      <c r="B123" s="2" t="s">
        <v>72</v>
      </c>
      <c r="C123" s="2" t="s">
        <v>675</v>
      </c>
      <c r="D123" s="2" t="s">
        <v>527</v>
      </c>
      <c r="E123" s="2" t="s">
        <v>18</v>
      </c>
      <c r="F123" s="2" t="s">
        <v>20</v>
      </c>
      <c r="G123" s="7" t="n">
        <v>1</v>
      </c>
      <c r="H123" s="6" t="n">
        <v>596.5</v>
      </c>
      <c r="I123" s="6" t="n">
        <v>-596.5</v>
      </c>
      <c r="J123" s="6" t="n">
        <v>0</v>
      </c>
      <c r="K123" s="6" t="n">
        <v>-0.36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44792.41962963</v>
      </c>
      <c r="B124" s="26" t="s">
        <v>72</v>
      </c>
      <c r="C124" s="26" t="s">
        <v>675</v>
      </c>
      <c r="D124" s="26" t="s">
        <v>528</v>
      </c>
      <c r="E124" s="26" t="s">
        <v>18</v>
      </c>
      <c r="F124" s="26" t="s">
        <v>20</v>
      </c>
      <c r="G124" s="27" t="n">
        <v>-1</v>
      </c>
      <c r="H124" s="28" t="n">
        <v>614.5</v>
      </c>
      <c r="I124" s="28" t="n">
        <v>614.5</v>
      </c>
      <c r="J124" s="28" t="n">
        <v>0</v>
      </c>
      <c r="K124" s="28" t="n">
        <v>-0.38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0" t="n">
        <v>44792.692199074</v>
      </c>
      <c r="B125" s="2" t="s">
        <v>72</v>
      </c>
      <c r="C125" s="2" t="s">
        <v>675</v>
      </c>
      <c r="D125" s="2" t="s">
        <v>527</v>
      </c>
      <c r="E125" s="2" t="s">
        <v>18</v>
      </c>
      <c r="F125" s="2" t="s">
        <v>20</v>
      </c>
      <c r="G125" s="7" t="n">
        <v>1</v>
      </c>
      <c r="H125" s="6" t="n">
        <v>591</v>
      </c>
      <c r="I125" s="6" t="n">
        <v>-591</v>
      </c>
      <c r="J125" s="6" t="n">
        <v>0</v>
      </c>
      <c r="K125" s="6" t="n">
        <v>-0.36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44792.719444444</v>
      </c>
      <c r="B126" s="26" t="s">
        <v>133</v>
      </c>
      <c r="C126" s="26" t="s">
        <v>656</v>
      </c>
      <c r="D126" s="26" t="s">
        <v>528</v>
      </c>
      <c r="E126" s="26" t="s">
        <v>124</v>
      </c>
      <c r="F126" s="26" t="s">
        <v>20</v>
      </c>
      <c r="G126" s="27" t="n">
        <v>-747</v>
      </c>
      <c r="H126" s="28" t="n">
        <v>1.1741</v>
      </c>
      <c r="I126" s="28" t="n">
        <v>877.05</v>
      </c>
      <c r="J126" s="28" t="n">
        <v>0</v>
      </c>
      <c r="K126" s="28" t="n">
        <v>0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1" t="n">
        <v>44795</v>
      </c>
      <c r="B127" s="22" t="s">
        <v>645</v>
      </c>
      <c r="C127" s="22" t="s">
        <v>257</v>
      </c>
      <c r="D127" s="22" t="s">
        <v>645</v>
      </c>
      <c r="E127" s="22" t="s">
        <v>645</v>
      </c>
      <c r="F127" s="22" t="s">
        <v>20</v>
      </c>
      <c r="G127" s="23" t="n">
        <v>1</v>
      </c>
      <c r="H127" s="24" t="n">
        <v>800</v>
      </c>
      <c r="I127" s="24" t="n">
        <v>800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2"/>
    </row>
    <row collapsed="false" customFormat="false" customHeight="false" hidden="false" ht="12.1" outlineLevel="0" r="128">
      <c r="A128" s="20" t="n">
        <v>44795.419224537</v>
      </c>
      <c r="B128" s="2" t="s">
        <v>539</v>
      </c>
      <c r="C128" s="2" t="s">
        <v>676</v>
      </c>
      <c r="D128" s="2" t="s">
        <v>527</v>
      </c>
      <c r="E128" s="2" t="s">
        <v>18</v>
      </c>
      <c r="F128" s="2" t="s">
        <v>20</v>
      </c>
      <c r="G128" s="7" t="n">
        <v>2000</v>
      </c>
      <c r="H128" s="6" t="n">
        <v>0.5956</v>
      </c>
      <c r="I128" s="6" t="n">
        <v>-1191.2</v>
      </c>
      <c r="J128" s="6" t="n">
        <v>0</v>
      </c>
      <c r="K128" s="6" t="n">
        <v>-0.72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44795.631875</v>
      </c>
      <c r="B129" s="2" t="s">
        <v>118</v>
      </c>
      <c r="C129" s="2" t="s">
        <v>677</v>
      </c>
      <c r="D129" s="2" t="s">
        <v>527</v>
      </c>
      <c r="E129" s="2" t="s">
        <v>18</v>
      </c>
      <c r="F129" s="2" t="s">
        <v>20</v>
      </c>
      <c r="G129" s="7" t="n">
        <v>2</v>
      </c>
      <c r="H129" s="6" t="n">
        <v>222.9</v>
      </c>
      <c r="I129" s="6" t="n">
        <v>-445.8</v>
      </c>
      <c r="J129" s="6" t="n">
        <v>0</v>
      </c>
      <c r="K129" s="6" t="n">
        <v>-0.27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44795.672349537</v>
      </c>
      <c r="B130" s="2" t="s">
        <v>133</v>
      </c>
      <c r="C130" s="2" t="s">
        <v>656</v>
      </c>
      <c r="D130" s="2" t="s">
        <v>527</v>
      </c>
      <c r="E130" s="2" t="s">
        <v>124</v>
      </c>
      <c r="F130" s="2" t="s">
        <v>20</v>
      </c>
      <c r="G130" s="7" t="n">
        <v>60</v>
      </c>
      <c r="H130" s="6" t="n">
        <v>1.1745</v>
      </c>
      <c r="I130" s="6" t="n">
        <v>-70.47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44797.421608796</v>
      </c>
      <c r="B131" s="26" t="s">
        <v>118</v>
      </c>
      <c r="C131" s="26" t="s">
        <v>677</v>
      </c>
      <c r="D131" s="26" t="s">
        <v>528</v>
      </c>
      <c r="E131" s="26" t="s">
        <v>18</v>
      </c>
      <c r="F131" s="26" t="s">
        <v>20</v>
      </c>
      <c r="G131" s="27" t="n">
        <v>-2</v>
      </c>
      <c r="H131" s="28" t="n">
        <v>228.9</v>
      </c>
      <c r="I131" s="28" t="n">
        <v>457.8</v>
      </c>
      <c r="J131" s="28" t="n">
        <v>0</v>
      </c>
      <c r="K131" s="28" t="n">
        <v>-0.27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5" t="n">
        <v>44798.630740741</v>
      </c>
      <c r="B132" s="26" t="s">
        <v>133</v>
      </c>
      <c r="C132" s="26" t="s">
        <v>656</v>
      </c>
      <c r="D132" s="26" t="s">
        <v>528</v>
      </c>
      <c r="E132" s="26" t="s">
        <v>124</v>
      </c>
      <c r="F132" s="26" t="s">
        <v>20</v>
      </c>
      <c r="G132" s="27" t="n">
        <v>-50</v>
      </c>
      <c r="H132" s="28" t="n">
        <v>1.1756</v>
      </c>
      <c r="I132" s="28" t="n">
        <v>58.78</v>
      </c>
      <c r="J132" s="28" t="n">
        <v>0</v>
      </c>
      <c r="K132" s="28" t="n">
        <v>0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44798.630949074</v>
      </c>
      <c r="B133" s="2" t="s">
        <v>102</v>
      </c>
      <c r="C133" s="2" t="s">
        <v>669</v>
      </c>
      <c r="D133" s="2" t="s">
        <v>527</v>
      </c>
      <c r="E133" s="2" t="s">
        <v>18</v>
      </c>
      <c r="F133" s="2" t="s">
        <v>20</v>
      </c>
      <c r="G133" s="7" t="n">
        <v>10</v>
      </c>
      <c r="H133" s="6" t="n">
        <v>46.6</v>
      </c>
      <c r="I133" s="6" t="n">
        <v>-466</v>
      </c>
      <c r="J133" s="6" t="n">
        <v>0</v>
      </c>
      <c r="K133" s="6" t="n">
        <v>-0.28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44798.742326389</v>
      </c>
      <c r="B134" s="2" t="s">
        <v>133</v>
      </c>
      <c r="C134" s="2" t="s">
        <v>656</v>
      </c>
      <c r="D134" s="2" t="s">
        <v>527</v>
      </c>
      <c r="E134" s="2" t="s">
        <v>124</v>
      </c>
      <c r="F134" s="2" t="s">
        <v>20</v>
      </c>
      <c r="G134" s="7" t="n">
        <v>40</v>
      </c>
      <c r="H134" s="6" t="n">
        <v>1.1756</v>
      </c>
      <c r="I134" s="6" t="n">
        <v>-47.02</v>
      </c>
      <c r="J134" s="6" t="n">
        <v>0</v>
      </c>
      <c r="K134" s="6" t="n">
        <v>0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5" t="n">
        <v>44803.538055556</v>
      </c>
      <c r="B135" s="26" t="s">
        <v>72</v>
      </c>
      <c r="C135" s="26" t="s">
        <v>675</v>
      </c>
      <c r="D135" s="26" t="s">
        <v>528</v>
      </c>
      <c r="E135" s="26" t="s">
        <v>18</v>
      </c>
      <c r="F135" s="26" t="s">
        <v>20</v>
      </c>
      <c r="G135" s="27" t="n">
        <v>-1</v>
      </c>
      <c r="H135" s="28" t="n">
        <v>615.5</v>
      </c>
      <c r="I135" s="28" t="n">
        <v>615.5</v>
      </c>
      <c r="J135" s="28" t="n">
        <v>0</v>
      </c>
      <c r="K135" s="28" t="n">
        <v>-0.38</v>
      </c>
      <c r="L135" s="28" t="n">
        <v>0</v>
      </c>
      <c r="M135" s="6" t="s">
        <f>=I135+J135+K135+L135</f>
      </c>
      <c r="N135" s="28"/>
      <c r="O135" s="26"/>
    </row>
    <row collapsed="false" customFormat="false" customHeight="false" hidden="false" ht="12.1" outlineLevel="0" r="136">
      <c r="A136" s="20" t="n">
        <v>44803.566655093</v>
      </c>
      <c r="B136" s="2" t="s">
        <v>118</v>
      </c>
      <c r="C136" s="2" t="s">
        <v>677</v>
      </c>
      <c r="D136" s="2" t="s">
        <v>527</v>
      </c>
      <c r="E136" s="2" t="s">
        <v>18</v>
      </c>
      <c r="F136" s="2" t="s">
        <v>20</v>
      </c>
      <c r="G136" s="7" t="n">
        <v>2</v>
      </c>
      <c r="H136" s="6" t="n">
        <v>222</v>
      </c>
      <c r="I136" s="6" t="n">
        <v>-444</v>
      </c>
      <c r="J136" s="6" t="n">
        <v>0</v>
      </c>
      <c r="K136" s="6" t="n">
        <v>-0.27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44803.578275463</v>
      </c>
      <c r="B137" s="2" t="s">
        <v>133</v>
      </c>
      <c r="C137" s="2" t="s">
        <v>656</v>
      </c>
      <c r="D137" s="2" t="s">
        <v>527</v>
      </c>
      <c r="E137" s="2" t="s">
        <v>124</v>
      </c>
      <c r="F137" s="2" t="s">
        <v>20</v>
      </c>
      <c r="G137" s="7" t="n">
        <v>140</v>
      </c>
      <c r="H137" s="6" t="n">
        <v>1.1764</v>
      </c>
      <c r="I137" s="6" t="n">
        <v>-164.7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5" t="n">
        <v>44805.715902778</v>
      </c>
      <c r="B138" s="26" t="s">
        <v>131</v>
      </c>
      <c r="C138" s="26" t="s">
        <v>654</v>
      </c>
      <c r="D138" s="26" t="s">
        <v>528</v>
      </c>
      <c r="E138" s="26" t="s">
        <v>124</v>
      </c>
      <c r="F138" s="26" t="s">
        <v>20</v>
      </c>
      <c r="G138" s="27" t="n">
        <v>-4</v>
      </c>
      <c r="H138" s="28" t="n">
        <v>95</v>
      </c>
      <c r="I138" s="28" t="n">
        <v>380</v>
      </c>
      <c r="J138" s="28" t="n">
        <v>0</v>
      </c>
      <c r="K138" s="28" t="n">
        <v>-0.04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0" t="n">
        <v>44805.717407407</v>
      </c>
      <c r="B139" s="2" t="s">
        <v>133</v>
      </c>
      <c r="C139" s="2" t="s">
        <v>656</v>
      </c>
      <c r="D139" s="2" t="s">
        <v>527</v>
      </c>
      <c r="E139" s="2" t="s">
        <v>124</v>
      </c>
      <c r="F139" s="2" t="s">
        <v>20</v>
      </c>
      <c r="G139" s="7" t="n">
        <v>335</v>
      </c>
      <c r="H139" s="6" t="n">
        <v>1.1775</v>
      </c>
      <c r="I139" s="6" t="n">
        <v>-394.46</v>
      </c>
      <c r="J139" s="6" t="n">
        <v>0</v>
      </c>
      <c r="K139" s="6" t="n">
        <v>0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1" t="n">
        <v>44806</v>
      </c>
      <c r="B140" s="22" t="s">
        <v>645</v>
      </c>
      <c r="C140" s="22" t="s">
        <v>257</v>
      </c>
      <c r="D140" s="22" t="s">
        <v>645</v>
      </c>
      <c r="E140" s="22" t="s">
        <v>645</v>
      </c>
      <c r="F140" s="22" t="s">
        <v>20</v>
      </c>
      <c r="G140" s="23" t="n">
        <v>1</v>
      </c>
      <c r="H140" s="24" t="n">
        <v>150</v>
      </c>
      <c r="I140" s="24" t="n">
        <v>150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4"/>
      <c r="O140" s="22"/>
    </row>
    <row collapsed="false" customFormat="false" customHeight="false" hidden="false" ht="12.1" outlineLevel="0" r="141">
      <c r="A141" s="25" t="n">
        <v>44806.700231481</v>
      </c>
      <c r="B141" s="26" t="s">
        <v>133</v>
      </c>
      <c r="C141" s="26" t="s">
        <v>656</v>
      </c>
      <c r="D141" s="26" t="s">
        <v>528</v>
      </c>
      <c r="E141" s="26" t="s">
        <v>124</v>
      </c>
      <c r="F141" s="26" t="s">
        <v>20</v>
      </c>
      <c r="G141" s="27" t="n">
        <v>-525</v>
      </c>
      <c r="H141" s="28" t="n">
        <v>1.1776</v>
      </c>
      <c r="I141" s="28" t="n">
        <v>618.24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6"/>
    </row>
    <row collapsed="false" customFormat="false" customHeight="false" hidden="false" ht="12.1" outlineLevel="0" r="142">
      <c r="A142" s="20" t="n">
        <v>44806.703113426</v>
      </c>
      <c r="B142" s="2" t="s">
        <v>120</v>
      </c>
      <c r="C142" s="2" t="s">
        <v>678</v>
      </c>
      <c r="D142" s="2" t="s">
        <v>527</v>
      </c>
      <c r="E142" s="2" t="s">
        <v>18</v>
      </c>
      <c r="F142" s="2" t="s">
        <v>20</v>
      </c>
      <c r="G142" s="7" t="n">
        <v>100</v>
      </c>
      <c r="H142" s="6" t="n">
        <v>7.201</v>
      </c>
      <c r="I142" s="6" t="n">
        <v>-720.1</v>
      </c>
      <c r="J142" s="6" t="n">
        <v>0</v>
      </c>
      <c r="K142" s="6" t="n">
        <v>-0.43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5" t="n">
        <v>44809.681990741</v>
      </c>
      <c r="B143" s="26" t="s">
        <v>537</v>
      </c>
      <c r="C143" s="26" t="s">
        <v>672</v>
      </c>
      <c r="D143" s="26" t="s">
        <v>528</v>
      </c>
      <c r="E143" s="26" t="s">
        <v>18</v>
      </c>
      <c r="F143" s="26" t="s">
        <v>20</v>
      </c>
      <c r="G143" s="27" t="n">
        <v>-10</v>
      </c>
      <c r="H143" s="28" t="n">
        <v>42.74</v>
      </c>
      <c r="I143" s="28" t="n">
        <v>427.4</v>
      </c>
      <c r="J143" s="28" t="n">
        <v>0</v>
      </c>
      <c r="K143" s="28" t="n">
        <v>-0.25</v>
      </c>
      <c r="L143" s="28" t="n">
        <v>0</v>
      </c>
      <c r="M143" s="6" t="s">
        <f>=I143+J143+K143+L143</f>
      </c>
      <c r="N143" s="28"/>
      <c r="O143" s="26"/>
    </row>
    <row collapsed="false" customFormat="false" customHeight="false" hidden="false" ht="12.1" outlineLevel="0" r="144">
      <c r="A144" s="20" t="n">
        <v>44809.684953704</v>
      </c>
      <c r="B144" s="2" t="s">
        <v>133</v>
      </c>
      <c r="C144" s="2" t="s">
        <v>656</v>
      </c>
      <c r="D144" s="2" t="s">
        <v>527</v>
      </c>
      <c r="E144" s="2" t="s">
        <v>124</v>
      </c>
      <c r="F144" s="2" t="s">
        <v>20</v>
      </c>
      <c r="G144" s="7" t="n">
        <v>400</v>
      </c>
      <c r="H144" s="6" t="n">
        <v>1.1779</v>
      </c>
      <c r="I144" s="6" t="n">
        <v>-471.16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5" t="n">
        <v>44810.416678241</v>
      </c>
      <c r="B145" s="26" t="s">
        <v>60</v>
      </c>
      <c r="C145" s="26" t="s">
        <v>648</v>
      </c>
      <c r="D145" s="26" t="s">
        <v>528</v>
      </c>
      <c r="E145" s="26" t="s">
        <v>18</v>
      </c>
      <c r="F145" s="26" t="s">
        <v>20</v>
      </c>
      <c r="G145" s="27" t="n">
        <v>-100</v>
      </c>
      <c r="H145" s="28" t="n">
        <v>15.409</v>
      </c>
      <c r="I145" s="28" t="n">
        <v>1540.9</v>
      </c>
      <c r="J145" s="28" t="n">
        <v>0</v>
      </c>
      <c r="K145" s="28" t="n">
        <v>-0.93</v>
      </c>
      <c r="L145" s="28" t="n">
        <v>0</v>
      </c>
      <c r="M145" s="6" t="s">
        <f>=I145+J145+K145+L145</f>
      </c>
      <c r="N145" s="28"/>
      <c r="O145" s="26"/>
    </row>
    <row collapsed="false" customFormat="false" customHeight="false" hidden="false" ht="12.1" outlineLevel="0" r="146">
      <c r="A146" s="20" t="n">
        <v>44810.628263889</v>
      </c>
      <c r="B146" s="2" t="s">
        <v>60</v>
      </c>
      <c r="C146" s="2" t="s">
        <v>648</v>
      </c>
      <c r="D146" s="2" t="s">
        <v>527</v>
      </c>
      <c r="E146" s="2" t="s">
        <v>18</v>
      </c>
      <c r="F146" s="2" t="s">
        <v>20</v>
      </c>
      <c r="G146" s="7" t="n">
        <v>100</v>
      </c>
      <c r="H146" s="6" t="n">
        <v>14.5</v>
      </c>
      <c r="I146" s="6" t="n">
        <v>-1450</v>
      </c>
      <c r="J146" s="6" t="n">
        <v>0</v>
      </c>
      <c r="K146" s="6" t="n">
        <v>-0.87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44810.628958333</v>
      </c>
      <c r="B147" s="2" t="s">
        <v>133</v>
      </c>
      <c r="C147" s="2" t="s">
        <v>656</v>
      </c>
      <c r="D147" s="2" t="s">
        <v>527</v>
      </c>
      <c r="E147" s="2" t="s">
        <v>124</v>
      </c>
      <c r="F147" s="2" t="s">
        <v>20</v>
      </c>
      <c r="G147" s="7" t="n">
        <v>70</v>
      </c>
      <c r="H147" s="6" t="n">
        <v>1.1781</v>
      </c>
      <c r="I147" s="6" t="n">
        <v>-82.47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5" t="n">
        <v>44813.421782407</v>
      </c>
      <c r="B148" s="26" t="s">
        <v>532</v>
      </c>
      <c r="C148" s="26" t="s">
        <v>649</v>
      </c>
      <c r="D148" s="26" t="s">
        <v>528</v>
      </c>
      <c r="E148" s="26" t="s">
        <v>18</v>
      </c>
      <c r="F148" s="26" t="s">
        <v>20</v>
      </c>
      <c r="G148" s="27" t="n">
        <v>-10000</v>
      </c>
      <c r="H148" s="28" t="n">
        <v>0.019775</v>
      </c>
      <c r="I148" s="28" t="n">
        <v>197.75</v>
      </c>
      <c r="J148" s="28" t="n">
        <v>0</v>
      </c>
      <c r="K148" s="28" t="n">
        <v>-0.12</v>
      </c>
      <c r="L148" s="28" t="n">
        <v>0</v>
      </c>
      <c r="M148" s="6" t="s">
        <f>=I148+J148+K148+L148</f>
      </c>
      <c r="N148" s="28"/>
      <c r="O148" s="26"/>
    </row>
    <row collapsed="false" customFormat="false" customHeight="false" hidden="false" ht="12.1" outlineLevel="0" r="149">
      <c r="A149" s="20" t="n">
        <v>44813.422395833</v>
      </c>
      <c r="B149" s="2" t="s">
        <v>133</v>
      </c>
      <c r="C149" s="2" t="s">
        <v>656</v>
      </c>
      <c r="D149" s="2" t="s">
        <v>527</v>
      </c>
      <c r="E149" s="2" t="s">
        <v>124</v>
      </c>
      <c r="F149" s="2" t="s">
        <v>20</v>
      </c>
      <c r="G149" s="7" t="n">
        <v>178</v>
      </c>
      <c r="H149" s="6" t="n">
        <v>1.1793</v>
      </c>
      <c r="I149" s="6" t="n">
        <v>-209.91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5" t="n">
        <v>44820.666226852</v>
      </c>
      <c r="B150" s="26" t="s">
        <v>133</v>
      </c>
      <c r="C150" s="26" t="s">
        <v>656</v>
      </c>
      <c r="D150" s="26" t="s">
        <v>528</v>
      </c>
      <c r="E150" s="26" t="s">
        <v>124</v>
      </c>
      <c r="F150" s="26" t="s">
        <v>20</v>
      </c>
      <c r="G150" s="27" t="n">
        <v>-430</v>
      </c>
      <c r="H150" s="28" t="n">
        <v>1.1809</v>
      </c>
      <c r="I150" s="28" t="n">
        <v>507.79</v>
      </c>
      <c r="J150" s="28" t="n">
        <v>0</v>
      </c>
      <c r="K150" s="28" t="n">
        <v>0</v>
      </c>
      <c r="L150" s="28" t="n">
        <v>0</v>
      </c>
      <c r="M150" s="6" t="s">
        <f>=I150+J150+K150+L150</f>
      </c>
      <c r="N150" s="28"/>
      <c r="O150" s="26"/>
    </row>
    <row collapsed="false" customFormat="false" customHeight="false" hidden="false" ht="12.1" outlineLevel="0" r="151">
      <c r="A151" s="20" t="n">
        <v>44820.666400463</v>
      </c>
      <c r="B151" s="2" t="s">
        <v>108</v>
      </c>
      <c r="C151" s="2" t="s">
        <v>650</v>
      </c>
      <c r="D151" s="2" t="s">
        <v>527</v>
      </c>
      <c r="E151" s="2" t="s">
        <v>18</v>
      </c>
      <c r="F151" s="2" t="s">
        <v>20</v>
      </c>
      <c r="G151" s="7" t="n">
        <v>10</v>
      </c>
      <c r="H151" s="6" t="n">
        <v>47.995</v>
      </c>
      <c r="I151" s="6" t="n">
        <v>-479.95</v>
      </c>
      <c r="J151" s="6" t="n">
        <v>0</v>
      </c>
      <c r="K151" s="6" t="n">
        <v>-0.29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44820.751956019</v>
      </c>
      <c r="B152" s="2" t="s">
        <v>133</v>
      </c>
      <c r="C152" s="2" t="s">
        <v>656</v>
      </c>
      <c r="D152" s="2" t="s">
        <v>527</v>
      </c>
      <c r="E152" s="2" t="s">
        <v>124</v>
      </c>
      <c r="F152" s="2" t="s">
        <v>20</v>
      </c>
      <c r="G152" s="7" t="n">
        <v>20</v>
      </c>
      <c r="H152" s="6" t="n">
        <v>1.1809</v>
      </c>
      <c r="I152" s="6" t="n">
        <v>-23.62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44825.681342593</v>
      </c>
      <c r="B153" s="2" t="s">
        <v>133</v>
      </c>
      <c r="C153" s="2" t="s">
        <v>656</v>
      </c>
      <c r="D153" s="2" t="s">
        <v>527</v>
      </c>
      <c r="E153" s="2" t="s">
        <v>124</v>
      </c>
      <c r="F153" s="2" t="s">
        <v>20</v>
      </c>
      <c r="G153" s="7" t="n">
        <v>25</v>
      </c>
      <c r="H153" s="6" t="n">
        <v>1.1815</v>
      </c>
      <c r="I153" s="6" t="n">
        <v>-29.54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44830.568865741</v>
      </c>
      <c r="B154" s="26" t="s">
        <v>133</v>
      </c>
      <c r="C154" s="26" t="s">
        <v>656</v>
      </c>
      <c r="D154" s="26" t="s">
        <v>528</v>
      </c>
      <c r="E154" s="26" t="s">
        <v>124</v>
      </c>
      <c r="F154" s="26" t="s">
        <v>20</v>
      </c>
      <c r="G154" s="27" t="n">
        <v>-263</v>
      </c>
      <c r="H154" s="28" t="n">
        <v>1.1825</v>
      </c>
      <c r="I154" s="28" t="n">
        <v>311</v>
      </c>
      <c r="J154" s="28" t="n">
        <v>0</v>
      </c>
      <c r="K154" s="28" t="n">
        <v>0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0" t="n">
        <v>44830.569074074</v>
      </c>
      <c r="B155" s="2" t="s">
        <v>131</v>
      </c>
      <c r="C155" s="2" t="s">
        <v>654</v>
      </c>
      <c r="D155" s="2" t="s">
        <v>527</v>
      </c>
      <c r="E155" s="2" t="s">
        <v>124</v>
      </c>
      <c r="F155" s="2" t="s">
        <v>20</v>
      </c>
      <c r="G155" s="7" t="n">
        <v>4</v>
      </c>
      <c r="H155" s="6" t="n">
        <v>75.05</v>
      </c>
      <c r="I155" s="6" t="n">
        <v>-300.2</v>
      </c>
      <c r="J155" s="6" t="n">
        <v>0</v>
      </c>
      <c r="K155" s="6" t="n">
        <v>-0.03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5" t="n">
        <v>44838.491134259</v>
      </c>
      <c r="B156" s="26" t="s">
        <v>131</v>
      </c>
      <c r="C156" s="26" t="s">
        <v>654</v>
      </c>
      <c r="D156" s="26" t="s">
        <v>528</v>
      </c>
      <c r="E156" s="26" t="s">
        <v>124</v>
      </c>
      <c r="F156" s="26" t="s">
        <v>20</v>
      </c>
      <c r="G156" s="27" t="n">
        <v>-4</v>
      </c>
      <c r="H156" s="28" t="n">
        <v>80.6</v>
      </c>
      <c r="I156" s="28" t="n">
        <v>322.4</v>
      </c>
      <c r="J156" s="28" t="n">
        <v>0</v>
      </c>
      <c r="K156" s="28" t="n">
        <v>-0.03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44838.493298611</v>
      </c>
      <c r="B157" s="2" t="s">
        <v>133</v>
      </c>
      <c r="C157" s="2" t="s">
        <v>656</v>
      </c>
      <c r="D157" s="2" t="s">
        <v>527</v>
      </c>
      <c r="E157" s="2" t="s">
        <v>124</v>
      </c>
      <c r="F157" s="2" t="s">
        <v>20</v>
      </c>
      <c r="G157" s="7" t="n">
        <v>278</v>
      </c>
      <c r="H157" s="6" t="n">
        <v>1.1846</v>
      </c>
      <c r="I157" s="6" t="n">
        <v>-329.32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44861.454548611</v>
      </c>
      <c r="B158" s="2" t="s">
        <v>133</v>
      </c>
      <c r="C158" s="2" t="s">
        <v>656</v>
      </c>
      <c r="D158" s="2" t="s">
        <v>527</v>
      </c>
      <c r="E158" s="2" t="s">
        <v>124</v>
      </c>
      <c r="F158" s="2" t="s">
        <v>20</v>
      </c>
      <c r="G158" s="7" t="n">
        <v>375</v>
      </c>
      <c r="H158" s="6" t="n">
        <v>1.1903</v>
      </c>
      <c r="I158" s="6" t="n">
        <v>-446.36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44866.573819444</v>
      </c>
      <c r="B159" s="26" t="s">
        <v>40</v>
      </c>
      <c r="C159" s="26" t="s">
        <v>674</v>
      </c>
      <c r="D159" s="26" t="s">
        <v>528</v>
      </c>
      <c r="E159" s="26" t="s">
        <v>18</v>
      </c>
      <c r="F159" s="26" t="s">
        <v>20</v>
      </c>
      <c r="G159" s="27" t="n">
        <v>-1</v>
      </c>
      <c r="H159" s="28" t="n">
        <v>434.45</v>
      </c>
      <c r="I159" s="28" t="n">
        <v>434.45</v>
      </c>
      <c r="J159" s="28" t="n">
        <v>0</v>
      </c>
      <c r="K159" s="28" t="n">
        <v>-0.35</v>
      </c>
      <c r="L159" s="28" t="n">
        <v>0</v>
      </c>
      <c r="M159" s="6" t="s">
        <f>=I159+J159+K159+L159</f>
      </c>
      <c r="N159" s="28"/>
      <c r="O159" s="26"/>
    </row>
    <row collapsed="false" customFormat="false" customHeight="false" hidden="false" ht="12.1" outlineLevel="0" r="160">
      <c r="A160" s="20" t="n">
        <v>44866.573958333</v>
      </c>
      <c r="B160" s="2" t="s">
        <v>133</v>
      </c>
      <c r="C160" s="2" t="s">
        <v>656</v>
      </c>
      <c r="D160" s="2" t="s">
        <v>527</v>
      </c>
      <c r="E160" s="2" t="s">
        <v>124</v>
      </c>
      <c r="F160" s="2" t="s">
        <v>20</v>
      </c>
      <c r="G160" s="7" t="n">
        <v>365</v>
      </c>
      <c r="H160" s="6" t="n">
        <v>1.1911</v>
      </c>
      <c r="I160" s="6" t="n">
        <v>-434.75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44868.756238426</v>
      </c>
      <c r="B161" s="2" t="s">
        <v>133</v>
      </c>
      <c r="C161" s="2" t="s">
        <v>656</v>
      </c>
      <c r="D161" s="2" t="s">
        <v>527</v>
      </c>
      <c r="E161" s="2" t="s">
        <v>124</v>
      </c>
      <c r="F161" s="2" t="s">
        <v>20</v>
      </c>
      <c r="G161" s="7" t="n">
        <v>20</v>
      </c>
      <c r="H161" s="6" t="n">
        <v>1.1923</v>
      </c>
      <c r="I161" s="6" t="n">
        <v>-23.85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5" t="n">
        <v>44872.532476852</v>
      </c>
      <c r="B162" s="26" t="s">
        <v>133</v>
      </c>
      <c r="C162" s="26" t="s">
        <v>656</v>
      </c>
      <c r="D162" s="26" t="s">
        <v>528</v>
      </c>
      <c r="E162" s="26" t="s">
        <v>124</v>
      </c>
      <c r="F162" s="26" t="s">
        <v>20</v>
      </c>
      <c r="G162" s="27" t="n">
        <v>-390</v>
      </c>
      <c r="H162" s="28" t="n">
        <v>1.1923</v>
      </c>
      <c r="I162" s="28" t="n">
        <v>465</v>
      </c>
      <c r="J162" s="28" t="n">
        <v>0</v>
      </c>
      <c r="K162" s="28" t="n">
        <v>0</v>
      </c>
      <c r="L162" s="28" t="n">
        <v>0</v>
      </c>
      <c r="M162" s="6" t="s">
        <f>=I162+J162+K162+L162</f>
      </c>
      <c r="N162" s="28"/>
      <c r="O162" s="26"/>
    </row>
    <row collapsed="false" customFormat="false" customHeight="false" hidden="false" ht="12.1" outlineLevel="0" r="163">
      <c r="A163" s="25" t="n">
        <v>44873.691122685</v>
      </c>
      <c r="B163" s="26" t="s">
        <v>133</v>
      </c>
      <c r="C163" s="26" t="s">
        <v>656</v>
      </c>
      <c r="D163" s="26" t="s">
        <v>528</v>
      </c>
      <c r="E163" s="26" t="s">
        <v>124</v>
      </c>
      <c r="F163" s="26" t="s">
        <v>20</v>
      </c>
      <c r="G163" s="27" t="n">
        <v>-50</v>
      </c>
      <c r="H163" s="28" t="n">
        <v>1.1925</v>
      </c>
      <c r="I163" s="28" t="n">
        <v>59.63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8"/>
      <c r="O163" s="26"/>
    </row>
    <row collapsed="false" customFormat="false" customHeight="false" hidden="false" ht="12.1" outlineLevel="0" r="164">
      <c r="A164" s="20" t="n">
        <v>44873.720219907</v>
      </c>
      <c r="B164" s="2" t="s">
        <v>104</v>
      </c>
      <c r="C164" s="2" t="s">
        <v>679</v>
      </c>
      <c r="D164" s="2" t="s">
        <v>527</v>
      </c>
      <c r="E164" s="2" t="s">
        <v>18</v>
      </c>
      <c r="F164" s="2" t="s">
        <v>20</v>
      </c>
      <c r="G164" s="7" t="n">
        <v>1</v>
      </c>
      <c r="H164" s="6" t="n">
        <v>498</v>
      </c>
      <c r="I164" s="6" t="n">
        <v>-498</v>
      </c>
      <c r="J164" s="6" t="n">
        <v>0</v>
      </c>
      <c r="K164" s="6" t="n">
        <v>-0.25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0" t="n">
        <v>44873.723136574</v>
      </c>
      <c r="B165" s="2" t="s">
        <v>133</v>
      </c>
      <c r="C165" s="2" t="s">
        <v>656</v>
      </c>
      <c r="D165" s="2" t="s">
        <v>527</v>
      </c>
      <c r="E165" s="2" t="s">
        <v>124</v>
      </c>
      <c r="F165" s="2" t="s">
        <v>20</v>
      </c>
      <c r="G165" s="7" t="n">
        <v>20</v>
      </c>
      <c r="H165" s="6" t="n">
        <v>1.1926</v>
      </c>
      <c r="I165" s="6" t="n">
        <v>-23.85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44875.749965278</v>
      </c>
      <c r="B166" s="26" t="s">
        <v>133</v>
      </c>
      <c r="C166" s="26" t="s">
        <v>656</v>
      </c>
      <c r="D166" s="26" t="s">
        <v>528</v>
      </c>
      <c r="E166" s="26" t="s">
        <v>124</v>
      </c>
      <c r="F166" s="26" t="s">
        <v>20</v>
      </c>
      <c r="G166" s="27" t="n">
        <v>-325</v>
      </c>
      <c r="H166" s="28" t="n">
        <v>1.1935</v>
      </c>
      <c r="I166" s="28" t="n">
        <v>387.89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0" t="n">
        <v>44875.750509259</v>
      </c>
      <c r="B167" s="2" t="s">
        <v>537</v>
      </c>
      <c r="C167" s="2" t="s">
        <v>672</v>
      </c>
      <c r="D167" s="2" t="s">
        <v>527</v>
      </c>
      <c r="E167" s="2" t="s">
        <v>18</v>
      </c>
      <c r="F167" s="2" t="s">
        <v>20</v>
      </c>
      <c r="G167" s="7" t="n">
        <v>10</v>
      </c>
      <c r="H167" s="6" t="n">
        <v>37.99</v>
      </c>
      <c r="I167" s="6" t="n">
        <v>-379.9</v>
      </c>
      <c r="J167" s="6" t="n">
        <v>0</v>
      </c>
      <c r="K167" s="6" t="n">
        <v>-0.31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1" t="n">
        <v>44893</v>
      </c>
      <c r="B168" s="22" t="s">
        <v>645</v>
      </c>
      <c r="C168" s="22" t="s">
        <v>257</v>
      </c>
      <c r="D168" s="22" t="s">
        <v>645</v>
      </c>
      <c r="E168" s="22" t="s">
        <v>645</v>
      </c>
      <c r="F168" s="22" t="s">
        <v>20</v>
      </c>
      <c r="G168" s="23" t="n">
        <v>1</v>
      </c>
      <c r="H168" s="24" t="n">
        <v>310</v>
      </c>
      <c r="I168" s="24" t="n">
        <v>310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5" t="n">
        <v>44893.521423611</v>
      </c>
      <c r="B169" s="26" t="s">
        <v>128</v>
      </c>
      <c r="C169" s="26" t="s">
        <v>657</v>
      </c>
      <c r="D169" s="26" t="s">
        <v>528</v>
      </c>
      <c r="E169" s="26" t="s">
        <v>124</v>
      </c>
      <c r="F169" s="26" t="s">
        <v>20</v>
      </c>
      <c r="G169" s="27" t="n">
        <v>-2260</v>
      </c>
      <c r="H169" s="28" t="n">
        <v>0.8769</v>
      </c>
      <c r="I169" s="28" t="n">
        <v>1981.79</v>
      </c>
      <c r="J169" s="28" t="n">
        <v>0</v>
      </c>
      <c r="K169" s="28" t="n">
        <v>-0.59</v>
      </c>
      <c r="L169" s="28" t="n">
        <v>0</v>
      </c>
      <c r="M169" s="6" t="s">
        <f>=I169+J169+K169+L169</f>
      </c>
      <c r="N169" s="28"/>
      <c r="O169" s="26"/>
    </row>
    <row collapsed="false" customFormat="false" customHeight="false" hidden="false" ht="12.1" outlineLevel="0" r="170">
      <c r="A170" s="20" t="n">
        <v>44893.672916667</v>
      </c>
      <c r="B170" s="2" t="s">
        <v>540</v>
      </c>
      <c r="C170" s="2" t="s">
        <v>680</v>
      </c>
      <c r="D170" s="2" t="s">
        <v>527</v>
      </c>
      <c r="E170" s="2" t="s">
        <v>18</v>
      </c>
      <c r="F170" s="2" t="s">
        <v>20</v>
      </c>
      <c r="G170" s="7" t="n">
        <v>20</v>
      </c>
      <c r="H170" s="6" t="n">
        <v>132.6</v>
      </c>
      <c r="I170" s="6" t="n">
        <v>-2652</v>
      </c>
      <c r="J170" s="6" t="n">
        <v>0</v>
      </c>
      <c r="K170" s="6" t="n">
        <v>-1.33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5" t="n">
        <v>44893.809340278</v>
      </c>
      <c r="B171" s="26" t="s">
        <v>133</v>
      </c>
      <c r="C171" s="26" t="s">
        <v>656</v>
      </c>
      <c r="D171" s="26" t="s">
        <v>528</v>
      </c>
      <c r="E171" s="26" t="s">
        <v>124</v>
      </c>
      <c r="F171" s="26" t="s">
        <v>20</v>
      </c>
      <c r="G171" s="27" t="n">
        <v>-293</v>
      </c>
      <c r="H171" s="28" t="n">
        <v>1.197</v>
      </c>
      <c r="I171" s="28" t="n">
        <v>350.72</v>
      </c>
      <c r="J171" s="28" t="n">
        <v>0</v>
      </c>
      <c r="K171" s="28" t="n">
        <v>0</v>
      </c>
      <c r="L171" s="28" t="n">
        <v>0</v>
      </c>
      <c r="M171" s="6" t="s">
        <f>=I171+J171+K171+L171</f>
      </c>
      <c r="N171" s="28"/>
      <c r="O171" s="26"/>
    </row>
    <row collapsed="false" customFormat="false" customHeight="false" hidden="false" ht="12.1" outlineLevel="0" r="172">
      <c r="A172" s="25" t="n">
        <v>44894.501168981</v>
      </c>
      <c r="B172" s="26" t="s">
        <v>540</v>
      </c>
      <c r="C172" s="26" t="s">
        <v>680</v>
      </c>
      <c r="D172" s="26" t="s">
        <v>528</v>
      </c>
      <c r="E172" s="26" t="s">
        <v>18</v>
      </c>
      <c r="F172" s="26" t="s">
        <v>20</v>
      </c>
      <c r="G172" s="27" t="n">
        <v>-10</v>
      </c>
      <c r="H172" s="28" t="n">
        <v>134</v>
      </c>
      <c r="I172" s="28" t="n">
        <v>1340</v>
      </c>
      <c r="J172" s="28" t="n">
        <v>0</v>
      </c>
      <c r="K172" s="28" t="n">
        <v>-0.67</v>
      </c>
      <c r="L172" s="28" t="n">
        <v>0</v>
      </c>
      <c r="M172" s="6" t="s">
        <f>=I172+J172+K172+L172</f>
      </c>
      <c r="N172" s="28"/>
      <c r="O172" s="26"/>
    </row>
    <row collapsed="false" customFormat="false" customHeight="false" hidden="false" ht="12.1" outlineLevel="0" r="173">
      <c r="A173" s="20" t="n">
        <v>44894.746631944</v>
      </c>
      <c r="B173" s="2" t="s">
        <v>128</v>
      </c>
      <c r="C173" s="2" t="s">
        <v>657</v>
      </c>
      <c r="D173" s="2" t="s">
        <v>527</v>
      </c>
      <c r="E173" s="2" t="s">
        <v>124</v>
      </c>
      <c r="F173" s="2" t="s">
        <v>20</v>
      </c>
      <c r="G173" s="7" t="n">
        <v>1400</v>
      </c>
      <c r="H173" s="6" t="n">
        <v>0.8821</v>
      </c>
      <c r="I173" s="6" t="n">
        <v>-1234.94</v>
      </c>
      <c r="J173" s="6" t="n">
        <v>0</v>
      </c>
      <c r="K173" s="6" t="n">
        <v>-0.37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5" t="n">
        <v>44895.60775463</v>
      </c>
      <c r="B174" s="26" t="s">
        <v>540</v>
      </c>
      <c r="C174" s="26" t="s">
        <v>680</v>
      </c>
      <c r="D174" s="26" t="s">
        <v>528</v>
      </c>
      <c r="E174" s="26" t="s">
        <v>18</v>
      </c>
      <c r="F174" s="26" t="s">
        <v>20</v>
      </c>
      <c r="G174" s="27" t="n">
        <v>-10</v>
      </c>
      <c r="H174" s="28" t="n">
        <v>135.3</v>
      </c>
      <c r="I174" s="28" t="n">
        <v>1353</v>
      </c>
      <c r="J174" s="28" t="n">
        <v>0</v>
      </c>
      <c r="K174" s="28" t="n">
        <v>-1.08</v>
      </c>
      <c r="L174" s="28" t="n">
        <v>0</v>
      </c>
      <c r="M174" s="6" t="s">
        <f>=I174+J174+K174+L174</f>
      </c>
      <c r="N174" s="28"/>
      <c r="O174" s="26"/>
    </row>
    <row collapsed="false" customFormat="false" customHeight="false" hidden="false" ht="12.1" outlineLevel="0" r="175">
      <c r="A175" s="20" t="n">
        <v>44895.623553241</v>
      </c>
      <c r="B175" s="2" t="s">
        <v>128</v>
      </c>
      <c r="C175" s="2" t="s">
        <v>657</v>
      </c>
      <c r="D175" s="2" t="s">
        <v>527</v>
      </c>
      <c r="E175" s="2" t="s">
        <v>124</v>
      </c>
      <c r="F175" s="2" t="s">
        <v>20</v>
      </c>
      <c r="G175" s="7" t="n">
        <v>1640</v>
      </c>
      <c r="H175" s="6" t="n">
        <v>0.88585487804878</v>
      </c>
      <c r="I175" s="6" t="n">
        <v>-1452.8</v>
      </c>
      <c r="J175" s="6" t="n">
        <v>0</v>
      </c>
      <c r="K175" s="6" t="n">
        <v>-0.43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44923.521724537</v>
      </c>
      <c r="B176" s="26" t="s">
        <v>535</v>
      </c>
      <c r="C176" s="26" t="s">
        <v>658</v>
      </c>
      <c r="D176" s="26" t="s">
        <v>528</v>
      </c>
      <c r="E176" s="26" t="s">
        <v>124</v>
      </c>
      <c r="F176" s="26" t="s">
        <v>20</v>
      </c>
      <c r="G176" s="27" t="n">
        <v>-20</v>
      </c>
      <c r="H176" s="28" t="n">
        <v>30.45</v>
      </c>
      <c r="I176" s="28" t="n">
        <v>609</v>
      </c>
      <c r="J176" s="28" t="n">
        <v>0</v>
      </c>
      <c r="K176" s="28" t="n">
        <v>-0.19</v>
      </c>
      <c r="L176" s="28" t="n">
        <v>0</v>
      </c>
      <c r="M176" s="6" t="s">
        <f>=I176+J176+K176+L176</f>
      </c>
      <c r="N176" s="28"/>
      <c r="O176" s="26"/>
    </row>
    <row collapsed="false" customFormat="false" customHeight="false" hidden="false" ht="12.1" outlineLevel="0" r="177">
      <c r="A177" s="20" t="n">
        <v>44923.714490741</v>
      </c>
      <c r="B177" s="2" t="s">
        <v>133</v>
      </c>
      <c r="C177" s="2" t="s">
        <v>656</v>
      </c>
      <c r="D177" s="2" t="s">
        <v>527</v>
      </c>
      <c r="E177" s="2" t="s">
        <v>124</v>
      </c>
      <c r="F177" s="2" t="s">
        <v>20</v>
      </c>
      <c r="G177" s="7" t="n">
        <v>300</v>
      </c>
      <c r="H177" s="6" t="n">
        <v>1.2039</v>
      </c>
      <c r="I177" s="6" t="n">
        <v>-361.17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44924.729479167</v>
      </c>
      <c r="B178" s="2" t="s">
        <v>133</v>
      </c>
      <c r="C178" s="2" t="s">
        <v>656</v>
      </c>
      <c r="D178" s="2" t="s">
        <v>527</v>
      </c>
      <c r="E178" s="2" t="s">
        <v>124</v>
      </c>
      <c r="F178" s="2" t="s">
        <v>20</v>
      </c>
      <c r="G178" s="7" t="n">
        <v>500</v>
      </c>
      <c r="H178" s="6" t="n">
        <v>1.2049</v>
      </c>
      <c r="I178" s="6" t="n">
        <v>-602.45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44930.45349537</v>
      </c>
      <c r="B179" s="26" t="s">
        <v>128</v>
      </c>
      <c r="C179" s="26" t="s">
        <v>657</v>
      </c>
      <c r="D179" s="26" t="s">
        <v>528</v>
      </c>
      <c r="E179" s="26" t="s">
        <v>124</v>
      </c>
      <c r="F179" s="26" t="s">
        <v>20</v>
      </c>
      <c r="G179" s="27" t="n">
        <v>-300</v>
      </c>
      <c r="H179" s="28" t="n">
        <v>1.0865</v>
      </c>
      <c r="I179" s="28" t="n">
        <v>325.95</v>
      </c>
      <c r="J179" s="28" t="n">
        <v>0</v>
      </c>
      <c r="K179" s="28" t="n">
        <v>-0.1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0" t="n">
        <v>44930.453935185</v>
      </c>
      <c r="B180" s="2" t="s">
        <v>133</v>
      </c>
      <c r="C180" s="2" t="s">
        <v>656</v>
      </c>
      <c r="D180" s="2" t="s">
        <v>527</v>
      </c>
      <c r="E180" s="2" t="s">
        <v>124</v>
      </c>
      <c r="F180" s="2" t="s">
        <v>20</v>
      </c>
      <c r="G180" s="7" t="n">
        <v>400</v>
      </c>
      <c r="H180" s="6" t="n">
        <v>1.2058</v>
      </c>
      <c r="I180" s="6" t="n">
        <v>-482.32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6"/>
      <c r="O180" s="2"/>
    </row>
    <row collapsed="false" customFormat="false" customHeight="false" hidden="false" ht="12.1" outlineLevel="0" r="181">
      <c r="A181" s="25" t="n">
        <v>44931.716076389</v>
      </c>
      <c r="B181" s="26" t="s">
        <v>133</v>
      </c>
      <c r="C181" s="26" t="s">
        <v>656</v>
      </c>
      <c r="D181" s="26" t="s">
        <v>528</v>
      </c>
      <c r="E181" s="26" t="s">
        <v>124</v>
      </c>
      <c r="F181" s="26" t="s">
        <v>20</v>
      </c>
      <c r="G181" s="27" t="n">
        <v>-17</v>
      </c>
      <c r="H181" s="28" t="n">
        <v>1.2063</v>
      </c>
      <c r="I181" s="28" t="n">
        <v>20.51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0" t="n">
        <v>44937.463090278</v>
      </c>
      <c r="B182" s="2" t="s">
        <v>22</v>
      </c>
      <c r="C182" s="2" t="s">
        <v>681</v>
      </c>
      <c r="D182" s="2" t="s">
        <v>527</v>
      </c>
      <c r="E182" s="2" t="s">
        <v>18</v>
      </c>
      <c r="F182" s="2" t="s">
        <v>20</v>
      </c>
      <c r="G182" s="7" t="n">
        <v>10</v>
      </c>
      <c r="H182" s="6" t="n">
        <v>146.07</v>
      </c>
      <c r="I182" s="6" t="n">
        <v>-1460.7</v>
      </c>
      <c r="J182" s="6" t="n">
        <v>0</v>
      </c>
      <c r="K182" s="6" t="n">
        <v>-1.17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5" t="n">
        <v>44937.464016204</v>
      </c>
      <c r="B183" s="26" t="s">
        <v>133</v>
      </c>
      <c r="C183" s="26" t="s">
        <v>656</v>
      </c>
      <c r="D183" s="26" t="s">
        <v>528</v>
      </c>
      <c r="E183" s="26" t="s">
        <v>124</v>
      </c>
      <c r="F183" s="26" t="s">
        <v>20</v>
      </c>
      <c r="G183" s="27" t="n">
        <v>-1055</v>
      </c>
      <c r="H183" s="28" t="n">
        <v>1.2073</v>
      </c>
      <c r="I183" s="28" t="n">
        <v>1273.7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5" t="n">
        <v>44950.577106481</v>
      </c>
      <c r="B184" s="26" t="s">
        <v>537</v>
      </c>
      <c r="C184" s="26" t="s">
        <v>672</v>
      </c>
      <c r="D184" s="26" t="s">
        <v>528</v>
      </c>
      <c r="E184" s="26" t="s">
        <v>18</v>
      </c>
      <c r="F184" s="26" t="s">
        <v>20</v>
      </c>
      <c r="G184" s="27" t="n">
        <v>-10</v>
      </c>
      <c r="H184" s="28" t="n">
        <v>42.62</v>
      </c>
      <c r="I184" s="28" t="n">
        <v>426.2</v>
      </c>
      <c r="J184" s="28" t="n">
        <v>0</v>
      </c>
      <c r="K184" s="28" t="n">
        <v>-0.33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44950.577326389</v>
      </c>
      <c r="B185" s="2" t="s">
        <v>133</v>
      </c>
      <c r="C185" s="2" t="s">
        <v>656</v>
      </c>
      <c r="D185" s="2" t="s">
        <v>527</v>
      </c>
      <c r="E185" s="2" t="s">
        <v>124</v>
      </c>
      <c r="F185" s="2" t="s">
        <v>20</v>
      </c>
      <c r="G185" s="7" t="n">
        <v>360</v>
      </c>
      <c r="H185" s="6" t="n">
        <v>1.21</v>
      </c>
      <c r="I185" s="6" t="n">
        <v>-435.6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44956.796331019</v>
      </c>
      <c r="B186" s="2" t="s">
        <v>133</v>
      </c>
      <c r="C186" s="2" t="s">
        <v>656</v>
      </c>
      <c r="D186" s="2" t="s">
        <v>527</v>
      </c>
      <c r="E186" s="2" t="s">
        <v>124</v>
      </c>
      <c r="F186" s="2" t="s">
        <v>20</v>
      </c>
      <c r="G186" s="7" t="n">
        <v>33</v>
      </c>
      <c r="H186" s="6" t="n">
        <v>1.2112</v>
      </c>
      <c r="I186" s="6" t="n">
        <v>-39.97</v>
      </c>
      <c r="J186" s="6" t="n">
        <v>0</v>
      </c>
      <c r="K186" s="6" t="n">
        <v>0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44960.551215278</v>
      </c>
      <c r="B187" s="2" t="s">
        <v>116</v>
      </c>
      <c r="C187" s="2" t="s">
        <v>651</v>
      </c>
      <c r="D187" s="2" t="s">
        <v>527</v>
      </c>
      <c r="E187" s="2" t="s">
        <v>18</v>
      </c>
      <c r="F187" s="2" t="s">
        <v>20</v>
      </c>
      <c r="G187" s="7" t="n">
        <v>2</v>
      </c>
      <c r="H187" s="6" t="n">
        <v>121.01</v>
      </c>
      <c r="I187" s="6" t="n">
        <v>-242.02</v>
      </c>
      <c r="J187" s="6" t="n">
        <v>0</v>
      </c>
      <c r="K187" s="6" t="n">
        <v>-0.19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5" t="n">
        <v>44960.551539352</v>
      </c>
      <c r="B188" s="26" t="s">
        <v>133</v>
      </c>
      <c r="C188" s="26" t="s">
        <v>656</v>
      </c>
      <c r="D188" s="26" t="s">
        <v>528</v>
      </c>
      <c r="E188" s="26" t="s">
        <v>124</v>
      </c>
      <c r="F188" s="26" t="s">
        <v>20</v>
      </c>
      <c r="G188" s="27" t="n">
        <v>-200</v>
      </c>
      <c r="H188" s="28" t="n">
        <v>1.2125</v>
      </c>
      <c r="I188" s="28" t="n">
        <v>242.5</v>
      </c>
      <c r="J188" s="28" t="n">
        <v>0</v>
      </c>
      <c r="K188" s="28" t="n">
        <v>0</v>
      </c>
      <c r="L188" s="28" t="n">
        <v>0</v>
      </c>
      <c r="M188" s="6" t="s">
        <f>=I188+J188+K188+L188</f>
      </c>
      <c r="N188" s="28"/>
      <c r="O188" s="26"/>
    </row>
    <row collapsed="false" customFormat="false" customHeight="false" hidden="false" ht="12.1" outlineLevel="0" r="189">
      <c r="A189" s="20" t="n">
        <v>44960.555104167</v>
      </c>
      <c r="B189" s="2" t="s">
        <v>236</v>
      </c>
      <c r="C189" s="2" t="s">
        <v>682</v>
      </c>
      <c r="D189" s="2" t="s">
        <v>527</v>
      </c>
      <c r="E189" s="2" t="s">
        <v>137</v>
      </c>
      <c r="F189" s="2" t="s">
        <v>20</v>
      </c>
      <c r="G189" s="7" t="n">
        <v>1</v>
      </c>
      <c r="H189" s="6" t="n">
        <v>92.76</v>
      </c>
      <c r="I189" s="6" t="n">
        <v>-927.6</v>
      </c>
      <c r="J189" s="6" t="n">
        <v>-9.51</v>
      </c>
      <c r="K189" s="6" t="n">
        <v>-0.6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5" t="n">
        <v>44960.777627315</v>
      </c>
      <c r="B190" s="26" t="s">
        <v>536</v>
      </c>
      <c r="C190" s="26" t="s">
        <v>659</v>
      </c>
      <c r="D190" s="26" t="s">
        <v>528</v>
      </c>
      <c r="E190" s="26" t="s">
        <v>137</v>
      </c>
      <c r="F190" s="26" t="s">
        <v>20</v>
      </c>
      <c r="G190" s="27" t="n">
        <v>-1</v>
      </c>
      <c r="H190" s="28" t="n">
        <v>98.26</v>
      </c>
      <c r="I190" s="28" t="n">
        <v>982.6</v>
      </c>
      <c r="J190" s="28" t="n">
        <v>20.42</v>
      </c>
      <c r="K190" s="28" t="n">
        <v>-0.63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44960.777893519</v>
      </c>
      <c r="B191" s="2" t="s">
        <v>133</v>
      </c>
      <c r="C191" s="2" t="s">
        <v>656</v>
      </c>
      <c r="D191" s="2" t="s">
        <v>527</v>
      </c>
      <c r="E191" s="2" t="s">
        <v>124</v>
      </c>
      <c r="F191" s="2" t="s">
        <v>20</v>
      </c>
      <c r="G191" s="7" t="n">
        <v>54</v>
      </c>
      <c r="H191" s="6" t="n">
        <v>1.2126</v>
      </c>
      <c r="I191" s="6" t="n">
        <v>-65.48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45002.567592593</v>
      </c>
      <c r="B192" s="26" t="s">
        <v>22</v>
      </c>
      <c r="C192" s="26" t="s">
        <v>681</v>
      </c>
      <c r="D192" s="26" t="s">
        <v>528</v>
      </c>
      <c r="E192" s="26" t="s">
        <v>18</v>
      </c>
      <c r="F192" s="26" t="s">
        <v>20</v>
      </c>
      <c r="G192" s="27" t="n">
        <v>-10</v>
      </c>
      <c r="H192" s="28" t="n">
        <v>181.37</v>
      </c>
      <c r="I192" s="28" t="n">
        <v>1813.7</v>
      </c>
      <c r="J192" s="28" t="n">
        <v>0</v>
      </c>
      <c r="K192" s="28" t="n">
        <v>-1.45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0" t="n">
        <v>45002.587685185</v>
      </c>
      <c r="B193" s="2" t="s">
        <v>133</v>
      </c>
      <c r="C193" s="2" t="s">
        <v>656</v>
      </c>
      <c r="D193" s="2" t="s">
        <v>527</v>
      </c>
      <c r="E193" s="2" t="s">
        <v>124</v>
      </c>
      <c r="F193" s="2" t="s">
        <v>20</v>
      </c>
      <c r="G193" s="7" t="n">
        <v>1479</v>
      </c>
      <c r="H193" s="6" t="n">
        <v>1.2219980392157</v>
      </c>
      <c r="I193" s="6" t="n">
        <v>-1807.34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45036.489513889</v>
      </c>
      <c r="B194" s="2" t="s">
        <v>72</v>
      </c>
      <c r="C194" s="2" t="s">
        <v>683</v>
      </c>
      <c r="D194" s="2" t="s">
        <v>527</v>
      </c>
      <c r="E194" s="2" t="s">
        <v>18</v>
      </c>
      <c r="F194" s="2" t="s">
        <v>20</v>
      </c>
      <c r="G194" s="7" t="n">
        <v>2</v>
      </c>
      <c r="H194" s="6" t="n">
        <v>605</v>
      </c>
      <c r="I194" s="6" t="n">
        <v>-1210</v>
      </c>
      <c r="J194" s="6" t="n">
        <v>0</v>
      </c>
      <c r="K194" s="6" t="n">
        <v>-0.61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5" t="n">
        <v>45036.522083333</v>
      </c>
      <c r="B195" s="26" t="s">
        <v>133</v>
      </c>
      <c r="C195" s="26" t="s">
        <v>656</v>
      </c>
      <c r="D195" s="26" t="s">
        <v>528</v>
      </c>
      <c r="E195" s="26" t="s">
        <v>124</v>
      </c>
      <c r="F195" s="26" t="s">
        <v>20</v>
      </c>
      <c r="G195" s="27" t="n">
        <v>-1010</v>
      </c>
      <c r="H195" s="28" t="n">
        <v>1.2298</v>
      </c>
      <c r="I195" s="28" t="n">
        <v>1242.1</v>
      </c>
      <c r="J195" s="28" t="n">
        <v>0</v>
      </c>
      <c r="K195" s="28" t="n">
        <v>0</v>
      </c>
      <c r="L195" s="28" t="n">
        <v>0</v>
      </c>
      <c r="M195" s="6" t="s">
        <f>=I195+J195+K195+L195</f>
      </c>
      <c r="N195" s="28"/>
      <c r="O195" s="26"/>
    </row>
    <row collapsed="false" customFormat="false" customHeight="false" hidden="false" ht="12.1" outlineLevel="0" r="196">
      <c r="A196" s="25" t="n">
        <v>45044.685844907</v>
      </c>
      <c r="B196" s="26" t="s">
        <v>133</v>
      </c>
      <c r="C196" s="26" t="s">
        <v>656</v>
      </c>
      <c r="D196" s="26" t="s">
        <v>528</v>
      </c>
      <c r="E196" s="26" t="s">
        <v>124</v>
      </c>
      <c r="F196" s="26" t="s">
        <v>20</v>
      </c>
      <c r="G196" s="27" t="n">
        <v>-480</v>
      </c>
      <c r="H196" s="28" t="n">
        <v>1.2317</v>
      </c>
      <c r="I196" s="28" t="n">
        <v>591.22</v>
      </c>
      <c r="J196" s="28" t="n">
        <v>0</v>
      </c>
      <c r="K196" s="28" t="n">
        <v>0</v>
      </c>
      <c r="L196" s="28" t="n">
        <v>0</v>
      </c>
      <c r="M196" s="6" t="s">
        <f>=I196+J196+K196+L196</f>
      </c>
      <c r="N196" s="28"/>
      <c r="O196" s="26"/>
    </row>
    <row collapsed="false" customFormat="false" customHeight="false" hidden="false" ht="12.1" outlineLevel="0" r="197">
      <c r="A197" s="20" t="n">
        <v>45044.688506944</v>
      </c>
      <c r="B197" s="2" t="s">
        <v>72</v>
      </c>
      <c r="C197" s="2" t="s">
        <v>683</v>
      </c>
      <c r="D197" s="2" t="s">
        <v>527</v>
      </c>
      <c r="E197" s="2" t="s">
        <v>18</v>
      </c>
      <c r="F197" s="2" t="s">
        <v>20</v>
      </c>
      <c r="G197" s="7" t="n">
        <v>1</v>
      </c>
      <c r="H197" s="6" t="n">
        <v>597.5</v>
      </c>
      <c r="I197" s="6" t="n">
        <v>-597.5</v>
      </c>
      <c r="J197" s="6" t="n">
        <v>0</v>
      </c>
      <c r="K197" s="6" t="n">
        <v>-0.3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45076.464386574</v>
      </c>
      <c r="B198" s="2" t="s">
        <v>133</v>
      </c>
      <c r="C198" s="2" t="s">
        <v>656</v>
      </c>
      <c r="D198" s="2" t="s">
        <v>527</v>
      </c>
      <c r="E198" s="2" t="s">
        <v>124</v>
      </c>
      <c r="F198" s="2" t="s">
        <v>20</v>
      </c>
      <c r="G198" s="7" t="n">
        <v>195</v>
      </c>
      <c r="H198" s="6" t="n">
        <v>1.2385</v>
      </c>
      <c r="I198" s="6" t="n">
        <v>-241.51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5" t="n">
        <v>45083.419409722</v>
      </c>
      <c r="B199" s="26" t="s">
        <v>133</v>
      </c>
      <c r="C199" s="26" t="s">
        <v>656</v>
      </c>
      <c r="D199" s="26" t="s">
        <v>528</v>
      </c>
      <c r="E199" s="26" t="s">
        <v>124</v>
      </c>
      <c r="F199" s="26" t="s">
        <v>20</v>
      </c>
      <c r="G199" s="27" t="n">
        <v>-480</v>
      </c>
      <c r="H199" s="28" t="n">
        <v>1.24</v>
      </c>
      <c r="I199" s="28" t="n">
        <v>595.2</v>
      </c>
      <c r="J199" s="28" t="n">
        <v>0</v>
      </c>
      <c r="K199" s="28" t="n">
        <v>0</v>
      </c>
      <c r="L199" s="28" t="n">
        <v>0</v>
      </c>
      <c r="M199" s="6" t="s">
        <f>=I199+J199+K199+L199</f>
      </c>
      <c r="N199" s="28"/>
      <c r="O199" s="26"/>
    </row>
    <row collapsed="false" customFormat="false" customHeight="false" hidden="false" ht="12.1" outlineLevel="0" r="200">
      <c r="A200" s="20" t="n">
        <v>45083.419988426</v>
      </c>
      <c r="B200" s="2" t="s">
        <v>72</v>
      </c>
      <c r="C200" s="2" t="s">
        <v>683</v>
      </c>
      <c r="D200" s="2" t="s">
        <v>527</v>
      </c>
      <c r="E200" s="2" t="s">
        <v>18</v>
      </c>
      <c r="F200" s="2" t="s">
        <v>20</v>
      </c>
      <c r="G200" s="7" t="n">
        <v>1</v>
      </c>
      <c r="H200" s="6" t="n">
        <v>577</v>
      </c>
      <c r="I200" s="6" t="n">
        <v>-577</v>
      </c>
      <c r="J200" s="6" t="n">
        <v>0</v>
      </c>
      <c r="K200" s="6" t="n">
        <v>-0.29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0" t="n">
        <v>45091.623796296</v>
      </c>
      <c r="B201" s="2" t="s">
        <v>133</v>
      </c>
      <c r="C201" s="2" t="s">
        <v>656</v>
      </c>
      <c r="D201" s="2" t="s">
        <v>527</v>
      </c>
      <c r="E201" s="2" t="s">
        <v>124</v>
      </c>
      <c r="F201" s="2" t="s">
        <v>20</v>
      </c>
      <c r="G201" s="7" t="n">
        <v>42</v>
      </c>
      <c r="H201" s="6" t="n">
        <v>1.2419</v>
      </c>
      <c r="I201" s="6" t="n">
        <v>-52.16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45092.416527778</v>
      </c>
      <c r="B202" s="2" t="s">
        <v>133</v>
      </c>
      <c r="C202" s="2" t="s">
        <v>656</v>
      </c>
      <c r="D202" s="2" t="s">
        <v>527</v>
      </c>
      <c r="E202" s="2" t="s">
        <v>124</v>
      </c>
      <c r="F202" s="2" t="s">
        <v>20</v>
      </c>
      <c r="G202" s="7" t="n">
        <v>345</v>
      </c>
      <c r="H202" s="6" t="n">
        <v>1.2426</v>
      </c>
      <c r="I202" s="6" t="n">
        <v>-428.69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45107.529525463</v>
      </c>
      <c r="B203" s="2" t="s">
        <v>133</v>
      </c>
      <c r="C203" s="2" t="s">
        <v>656</v>
      </c>
      <c r="D203" s="2" t="s">
        <v>527</v>
      </c>
      <c r="E203" s="2" t="s">
        <v>124</v>
      </c>
      <c r="F203" s="2" t="s">
        <v>20</v>
      </c>
      <c r="G203" s="7" t="n">
        <v>35</v>
      </c>
      <c r="H203" s="6" t="n">
        <v>1.2458</v>
      </c>
      <c r="I203" s="6" t="n">
        <v>-43.6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20" t="n">
        <v>45119.744155093</v>
      </c>
      <c r="B204" s="2" t="s">
        <v>133</v>
      </c>
      <c r="C204" s="2" t="s">
        <v>656</v>
      </c>
      <c r="D204" s="2" t="s">
        <v>527</v>
      </c>
      <c r="E204" s="2" t="s">
        <v>124</v>
      </c>
      <c r="F204" s="2" t="s">
        <v>20</v>
      </c>
      <c r="G204" s="7" t="n">
        <v>55</v>
      </c>
      <c r="H204" s="6" t="n">
        <v>1.2484</v>
      </c>
      <c r="I204" s="6" t="n">
        <v>-68.66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45120.627604167</v>
      </c>
      <c r="B205" s="2" t="s">
        <v>88</v>
      </c>
      <c r="C205" s="2" t="s">
        <v>653</v>
      </c>
      <c r="D205" s="2" t="s">
        <v>527</v>
      </c>
      <c r="E205" s="2" t="s">
        <v>18</v>
      </c>
      <c r="F205" s="2" t="s">
        <v>20</v>
      </c>
      <c r="G205" s="7" t="n">
        <v>100</v>
      </c>
      <c r="H205" s="6" t="n">
        <v>4.1525</v>
      </c>
      <c r="I205" s="6" t="n">
        <v>-415.25</v>
      </c>
      <c r="J205" s="6" t="n">
        <v>0</v>
      </c>
      <c r="K205" s="6" t="n">
        <v>-0.33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45120.670810185</v>
      </c>
      <c r="B206" s="26" t="s">
        <v>133</v>
      </c>
      <c r="C206" s="26" t="s">
        <v>656</v>
      </c>
      <c r="D206" s="26" t="s">
        <v>528</v>
      </c>
      <c r="E206" s="26" t="s">
        <v>124</v>
      </c>
      <c r="F206" s="26" t="s">
        <v>20</v>
      </c>
      <c r="G206" s="27" t="n">
        <v>-340</v>
      </c>
      <c r="H206" s="28" t="n">
        <v>1.2491</v>
      </c>
      <c r="I206" s="28" t="n">
        <v>424.69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0" t="n">
        <v>45121.587743056</v>
      </c>
      <c r="B207" s="2" t="s">
        <v>133</v>
      </c>
      <c r="C207" s="2" t="s">
        <v>656</v>
      </c>
      <c r="D207" s="2" t="s">
        <v>527</v>
      </c>
      <c r="E207" s="2" t="s">
        <v>124</v>
      </c>
      <c r="F207" s="2" t="s">
        <v>20</v>
      </c>
      <c r="G207" s="7" t="n">
        <v>35</v>
      </c>
      <c r="H207" s="6" t="n">
        <v>1.2493</v>
      </c>
      <c r="I207" s="6" t="n">
        <v>-43.73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45133.794976852</v>
      </c>
      <c r="B208" s="2" t="s">
        <v>133</v>
      </c>
      <c r="C208" s="2" t="s">
        <v>656</v>
      </c>
      <c r="D208" s="2" t="s">
        <v>527</v>
      </c>
      <c r="E208" s="2" t="s">
        <v>124</v>
      </c>
      <c r="F208" s="2" t="s">
        <v>20</v>
      </c>
      <c r="G208" s="7" t="n">
        <v>25</v>
      </c>
      <c r="H208" s="6" t="n">
        <v>1.2521</v>
      </c>
      <c r="I208" s="6" t="n">
        <v>-31.3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45141.617349537</v>
      </c>
      <c r="B209" s="2" t="s">
        <v>133</v>
      </c>
      <c r="C209" s="2" t="s">
        <v>656</v>
      </c>
      <c r="D209" s="2" t="s">
        <v>527</v>
      </c>
      <c r="E209" s="2" t="s">
        <v>124</v>
      </c>
      <c r="F209" s="2" t="s">
        <v>20</v>
      </c>
      <c r="G209" s="7" t="n">
        <v>65</v>
      </c>
      <c r="H209" s="6" t="n">
        <v>1.2538</v>
      </c>
      <c r="I209" s="6" t="n">
        <v>-81.5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45142.626759259</v>
      </c>
      <c r="B210" s="2" t="s">
        <v>133</v>
      </c>
      <c r="C210" s="2" t="s">
        <v>656</v>
      </c>
      <c r="D210" s="2" t="s">
        <v>527</v>
      </c>
      <c r="E210" s="2" t="s">
        <v>124</v>
      </c>
      <c r="F210" s="2" t="s">
        <v>20</v>
      </c>
      <c r="G210" s="7" t="n">
        <v>56</v>
      </c>
      <c r="H210" s="6" t="n">
        <v>1.2546</v>
      </c>
      <c r="I210" s="6" t="n">
        <v>-70.26</v>
      </c>
      <c r="J210" s="6" t="n">
        <v>0</v>
      </c>
      <c r="K210" s="6" t="n">
        <v>0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45196.647777778</v>
      </c>
      <c r="B211" s="2" t="s">
        <v>17</v>
      </c>
      <c r="C211" s="2" t="s">
        <v>646</v>
      </c>
      <c r="D211" s="2" t="s">
        <v>527</v>
      </c>
      <c r="E211" s="2" t="s">
        <v>18</v>
      </c>
      <c r="F211" s="2" t="s">
        <v>20</v>
      </c>
      <c r="G211" s="7" t="n">
        <v>1</v>
      </c>
      <c r="H211" s="6" t="n">
        <v>529.45</v>
      </c>
      <c r="I211" s="6" t="n">
        <v>-529.45</v>
      </c>
      <c r="J211" s="6" t="n">
        <v>0</v>
      </c>
      <c r="K211" s="6" t="n">
        <v>-0.42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5" t="n">
        <v>45196.648159722</v>
      </c>
      <c r="B212" s="26" t="s">
        <v>133</v>
      </c>
      <c r="C212" s="26" t="s">
        <v>656</v>
      </c>
      <c r="D212" s="26" t="s">
        <v>528</v>
      </c>
      <c r="E212" s="26" t="s">
        <v>124</v>
      </c>
      <c r="F212" s="26" t="s">
        <v>20</v>
      </c>
      <c r="G212" s="27" t="n">
        <v>-370</v>
      </c>
      <c r="H212" s="28" t="n">
        <v>1.2743</v>
      </c>
      <c r="I212" s="28" t="n">
        <v>471.49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1" t="n">
        <v>45265</v>
      </c>
      <c r="B213" s="22" t="s">
        <v>645</v>
      </c>
      <c r="C213" s="22" t="s">
        <v>257</v>
      </c>
      <c r="D213" s="22" t="s">
        <v>645</v>
      </c>
      <c r="E213" s="22" t="s">
        <v>645</v>
      </c>
      <c r="F213" s="22" t="s">
        <v>20</v>
      </c>
      <c r="G213" s="23" t="n">
        <v>1</v>
      </c>
      <c r="H213" s="24" t="n">
        <v>14898.95</v>
      </c>
      <c r="I213" s="24" t="n">
        <v>14898.95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0" t="n">
        <v>45265.816770833</v>
      </c>
      <c r="B214" s="2" t="s">
        <v>133</v>
      </c>
      <c r="C214" s="2" t="s">
        <v>656</v>
      </c>
      <c r="D214" s="2" t="s">
        <v>527</v>
      </c>
      <c r="E214" s="2" t="s">
        <v>124</v>
      </c>
      <c r="F214" s="2" t="s">
        <v>20</v>
      </c>
      <c r="G214" s="7" t="n">
        <v>11000</v>
      </c>
      <c r="H214" s="6" t="n">
        <v>1.3069</v>
      </c>
      <c r="I214" s="6" t="n">
        <v>-14375.9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45266.449722222</v>
      </c>
      <c r="B215" s="2" t="s">
        <v>133</v>
      </c>
      <c r="C215" s="2" t="s">
        <v>656</v>
      </c>
      <c r="D215" s="2" t="s">
        <v>527</v>
      </c>
      <c r="E215" s="2" t="s">
        <v>124</v>
      </c>
      <c r="F215" s="2" t="s">
        <v>20</v>
      </c>
      <c r="G215" s="7" t="n">
        <v>390</v>
      </c>
      <c r="H215" s="6" t="n">
        <v>1.3074</v>
      </c>
      <c r="I215" s="6" t="n">
        <v>-509.89</v>
      </c>
      <c r="J215" s="6" t="n">
        <v>0</v>
      </c>
      <c r="K215" s="6" t="n">
        <v>0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1" t="n">
        <v>45267</v>
      </c>
      <c r="B216" s="22" t="s">
        <v>645</v>
      </c>
      <c r="C216" s="22" t="s">
        <v>257</v>
      </c>
      <c r="D216" s="22" t="s">
        <v>645</v>
      </c>
      <c r="E216" s="22" t="s">
        <v>645</v>
      </c>
      <c r="F216" s="22" t="s">
        <v>20</v>
      </c>
      <c r="G216" s="23" t="n">
        <v>1</v>
      </c>
      <c r="H216" s="24" t="n">
        <v>35</v>
      </c>
      <c r="I216" s="24" t="n">
        <v>35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0" t="n">
        <v>45267.706238426</v>
      </c>
      <c r="B217" s="2" t="s">
        <v>133</v>
      </c>
      <c r="C217" s="2" t="s">
        <v>656</v>
      </c>
      <c r="D217" s="2" t="s">
        <v>527</v>
      </c>
      <c r="E217" s="2" t="s">
        <v>124</v>
      </c>
      <c r="F217" s="2" t="s">
        <v>20</v>
      </c>
      <c r="G217" s="7" t="n">
        <v>35</v>
      </c>
      <c r="H217" s="6" t="n">
        <v>1.3079</v>
      </c>
      <c r="I217" s="6" t="n">
        <v>-45.78</v>
      </c>
      <c r="J217" s="6" t="n">
        <v>0</v>
      </c>
      <c r="K217" s="6" t="n">
        <v>0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1" t="n">
        <v>45271</v>
      </c>
      <c r="B218" s="22" t="s">
        <v>645</v>
      </c>
      <c r="C218" s="22" t="s">
        <v>257</v>
      </c>
      <c r="D218" s="22" t="s">
        <v>645</v>
      </c>
      <c r="E218" s="22" t="s">
        <v>645</v>
      </c>
      <c r="F218" s="22" t="s">
        <v>20</v>
      </c>
      <c r="G218" s="23" t="n">
        <v>2</v>
      </c>
      <c r="H218" s="24" t="n">
        <v>1115.46</v>
      </c>
      <c r="I218" s="24" t="n">
        <v>2230.92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0" t="n">
        <v>45271.450775463</v>
      </c>
      <c r="B219" s="2" t="s">
        <v>133</v>
      </c>
      <c r="C219" s="2" t="s">
        <v>656</v>
      </c>
      <c r="D219" s="2" t="s">
        <v>527</v>
      </c>
      <c r="E219" s="2" t="s">
        <v>124</v>
      </c>
      <c r="F219" s="2" t="s">
        <v>20</v>
      </c>
      <c r="G219" s="7" t="n">
        <v>1670</v>
      </c>
      <c r="H219" s="6" t="n">
        <v>1.3101</v>
      </c>
      <c r="I219" s="6" t="n">
        <v>-2187.87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1" t="n">
        <v>45272</v>
      </c>
      <c r="B220" s="22" t="s">
        <v>645</v>
      </c>
      <c r="C220" s="22" t="s">
        <v>257</v>
      </c>
      <c r="D220" s="22" t="s">
        <v>645</v>
      </c>
      <c r="E220" s="22" t="s">
        <v>645</v>
      </c>
      <c r="F220" s="22" t="s">
        <v>20</v>
      </c>
      <c r="G220" s="23" t="n">
        <v>2</v>
      </c>
      <c r="H220" s="24" t="n">
        <v>25750</v>
      </c>
      <c r="I220" s="24" t="n">
        <v>51500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0" t="n">
        <v>45272.6525</v>
      </c>
      <c r="B221" s="2" t="s">
        <v>82</v>
      </c>
      <c r="C221" s="2" t="s">
        <v>684</v>
      </c>
      <c r="D221" s="2" t="s">
        <v>527</v>
      </c>
      <c r="E221" s="2" t="s">
        <v>18</v>
      </c>
      <c r="F221" s="2" t="s">
        <v>20</v>
      </c>
      <c r="G221" s="7" t="n">
        <v>20</v>
      </c>
      <c r="H221" s="6" t="n">
        <v>70.12</v>
      </c>
      <c r="I221" s="6" t="n">
        <v>-1402.4</v>
      </c>
      <c r="J221" s="6" t="n">
        <v>0</v>
      </c>
      <c r="K221" s="6" t="n">
        <v>-1.12</v>
      </c>
      <c r="L221" s="6" t="n">
        <v>0</v>
      </c>
      <c r="M221" s="6" t="s">
        <f>=I221+J221+K221+L221</f>
      </c>
      <c r="N221" s="6"/>
      <c r="O221" s="2"/>
    </row>
    <row collapsed="false" customFormat="false" customHeight="false" hidden="false" ht="12.1" outlineLevel="0" r="222">
      <c r="A222" s="20" t="n">
        <v>45272.65400463</v>
      </c>
      <c r="B222" s="2" t="s">
        <v>128</v>
      </c>
      <c r="C222" s="2" t="s">
        <v>657</v>
      </c>
      <c r="D222" s="2" t="s">
        <v>527</v>
      </c>
      <c r="E222" s="2" t="s">
        <v>124</v>
      </c>
      <c r="F222" s="2" t="s">
        <v>20</v>
      </c>
      <c r="G222" s="7" t="n">
        <v>4000</v>
      </c>
      <c r="H222" s="6" t="n">
        <v>1.473</v>
      </c>
      <c r="I222" s="6" t="n">
        <v>-5892</v>
      </c>
      <c r="J222" s="6" t="n">
        <v>0</v>
      </c>
      <c r="K222" s="6" t="n">
        <v>-1.77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45272.656550926</v>
      </c>
      <c r="B223" s="2" t="s">
        <v>685</v>
      </c>
      <c r="C223" s="2" t="s">
        <v>686</v>
      </c>
      <c r="D223" s="2" t="s">
        <v>527</v>
      </c>
      <c r="E223" s="2" t="s">
        <v>687</v>
      </c>
      <c r="F223" s="2" t="s">
        <v>20</v>
      </c>
      <c r="G223" s="7" t="n">
        <v>1000</v>
      </c>
      <c r="H223" s="6" t="n">
        <v>12.5295</v>
      </c>
      <c r="I223" s="6" t="n">
        <v>-12529.5</v>
      </c>
      <c r="J223" s="6" t="n">
        <v>0</v>
      </c>
      <c r="K223" s="6" t="n">
        <v>-56.26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45272.657303241</v>
      </c>
      <c r="B224" s="2" t="s">
        <v>133</v>
      </c>
      <c r="C224" s="2" t="s">
        <v>656</v>
      </c>
      <c r="D224" s="2" t="s">
        <v>527</v>
      </c>
      <c r="E224" s="2" t="s">
        <v>124</v>
      </c>
      <c r="F224" s="2" t="s">
        <v>20</v>
      </c>
      <c r="G224" s="7" t="n">
        <v>23000</v>
      </c>
      <c r="H224" s="6" t="n">
        <v>1.3105</v>
      </c>
      <c r="I224" s="6" t="n">
        <v>-30141.5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1" t="n">
        <v>45273</v>
      </c>
      <c r="B225" s="22" t="s">
        <v>645</v>
      </c>
      <c r="C225" s="22" t="s">
        <v>257</v>
      </c>
      <c r="D225" s="22" t="s">
        <v>645</v>
      </c>
      <c r="E225" s="22" t="s">
        <v>645</v>
      </c>
      <c r="F225" s="22" t="s">
        <v>20</v>
      </c>
      <c r="G225" s="23" t="n">
        <v>1</v>
      </c>
      <c r="H225" s="24" t="n">
        <v>48580</v>
      </c>
      <c r="I225" s="24" t="n">
        <v>48580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4"/>
      <c r="O225" s="22"/>
    </row>
    <row collapsed="false" customFormat="false" customHeight="false" hidden="false" ht="12.1" outlineLevel="0" r="226">
      <c r="A226" s="20" t="n">
        <v>45273.496111111</v>
      </c>
      <c r="B226" s="2" t="s">
        <v>215</v>
      </c>
      <c r="C226" s="2" t="s">
        <v>688</v>
      </c>
      <c r="D226" s="2" t="s">
        <v>527</v>
      </c>
      <c r="E226" s="2" t="s">
        <v>137</v>
      </c>
      <c r="F226" s="2" t="s">
        <v>20</v>
      </c>
      <c r="G226" s="7" t="n">
        <v>5</v>
      </c>
      <c r="H226" s="6" t="n">
        <v>96.17</v>
      </c>
      <c r="I226" s="6" t="n">
        <v>-4808.5</v>
      </c>
      <c r="J226" s="6" t="n">
        <v>-61.35</v>
      </c>
      <c r="K226" s="6" t="n">
        <v>-3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45273.511180556</v>
      </c>
      <c r="B227" s="2" t="s">
        <v>230</v>
      </c>
      <c r="C227" s="2" t="s">
        <v>689</v>
      </c>
      <c r="D227" s="2" t="s">
        <v>527</v>
      </c>
      <c r="E227" s="2" t="s">
        <v>137</v>
      </c>
      <c r="F227" s="2" t="s">
        <v>20</v>
      </c>
      <c r="G227" s="7" t="n">
        <v>2</v>
      </c>
      <c r="H227" s="6" t="n">
        <v>98.43</v>
      </c>
      <c r="I227" s="6" t="n">
        <v>-1968.6</v>
      </c>
      <c r="J227" s="6" t="n">
        <v>-15.96</v>
      </c>
      <c r="K227" s="6" t="n">
        <v>-1.22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45273.514328704</v>
      </c>
      <c r="B228" s="2" t="s">
        <v>188</v>
      </c>
      <c r="C228" s="2" t="s">
        <v>690</v>
      </c>
      <c r="D228" s="2" t="s">
        <v>527</v>
      </c>
      <c r="E228" s="2" t="s">
        <v>137</v>
      </c>
      <c r="F228" s="2" t="s">
        <v>20</v>
      </c>
      <c r="G228" s="7" t="n">
        <v>1</v>
      </c>
      <c r="H228" s="6" t="n">
        <v>95.47</v>
      </c>
      <c r="I228" s="6" t="n">
        <v>-954.7</v>
      </c>
      <c r="J228" s="6" t="n">
        <v>-2.63</v>
      </c>
      <c r="K228" s="6" t="n">
        <v>-0.6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45273.516180556</v>
      </c>
      <c r="B229" s="2" t="s">
        <v>133</v>
      </c>
      <c r="C229" s="2" t="s">
        <v>656</v>
      </c>
      <c r="D229" s="2" t="s">
        <v>527</v>
      </c>
      <c r="E229" s="2" t="s">
        <v>124</v>
      </c>
      <c r="F229" s="2" t="s">
        <v>20</v>
      </c>
      <c r="G229" s="7" t="n">
        <v>31000</v>
      </c>
      <c r="H229" s="6" t="n">
        <v>1.311</v>
      </c>
      <c r="I229" s="6" t="n">
        <v>-40641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1" t="n">
        <v>45274</v>
      </c>
      <c r="B230" s="22" t="s">
        <v>645</v>
      </c>
      <c r="C230" s="22" t="s">
        <v>257</v>
      </c>
      <c r="D230" s="22" t="s">
        <v>645</v>
      </c>
      <c r="E230" s="22" t="s">
        <v>645</v>
      </c>
      <c r="F230" s="22" t="s">
        <v>20</v>
      </c>
      <c r="G230" s="23" t="n">
        <v>1</v>
      </c>
      <c r="H230" s="24" t="n">
        <v>78000</v>
      </c>
      <c r="I230" s="24" t="n">
        <v>78000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0" t="n">
        <v>45274.437650463</v>
      </c>
      <c r="B231" s="2" t="s">
        <v>133</v>
      </c>
      <c r="C231" s="2" t="s">
        <v>656</v>
      </c>
      <c r="D231" s="2" t="s">
        <v>527</v>
      </c>
      <c r="E231" s="2" t="s">
        <v>124</v>
      </c>
      <c r="F231" s="2" t="s">
        <v>20</v>
      </c>
      <c r="G231" s="7" t="n">
        <v>60248</v>
      </c>
      <c r="H231" s="6" t="n">
        <v>1.3109082857522</v>
      </c>
      <c r="I231" s="6" t="n">
        <v>-78979.6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1" t="n">
        <v>45275</v>
      </c>
      <c r="B232" s="22" t="s">
        <v>645</v>
      </c>
      <c r="C232" s="22" t="s">
        <v>257</v>
      </c>
      <c r="D232" s="22" t="s">
        <v>645</v>
      </c>
      <c r="E232" s="22" t="s">
        <v>645</v>
      </c>
      <c r="F232" s="22" t="s">
        <v>20</v>
      </c>
      <c r="G232" s="23" t="n">
        <v>1</v>
      </c>
      <c r="H232" s="24" t="n">
        <v>63266.1</v>
      </c>
      <c r="I232" s="24" t="n">
        <v>63266.1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0" t="n">
        <v>45275.649375</v>
      </c>
      <c r="B233" s="2" t="s">
        <v>133</v>
      </c>
      <c r="C233" s="2" t="s">
        <v>656</v>
      </c>
      <c r="D233" s="2" t="s">
        <v>527</v>
      </c>
      <c r="E233" s="2" t="s">
        <v>124</v>
      </c>
      <c r="F233" s="2" t="s">
        <v>20</v>
      </c>
      <c r="G233" s="7" t="n">
        <v>48500</v>
      </c>
      <c r="H233" s="6" t="n">
        <v>1.3131175257732</v>
      </c>
      <c r="I233" s="6" t="n">
        <v>-63686.2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45278.43806713</v>
      </c>
      <c r="B234" s="2" t="s">
        <v>133</v>
      </c>
      <c r="C234" s="2" t="s">
        <v>656</v>
      </c>
      <c r="D234" s="2" t="s">
        <v>527</v>
      </c>
      <c r="E234" s="2" t="s">
        <v>124</v>
      </c>
      <c r="F234" s="2" t="s">
        <v>20</v>
      </c>
      <c r="G234" s="7" t="n">
        <v>180</v>
      </c>
      <c r="H234" s="6" t="n">
        <v>1.3135</v>
      </c>
      <c r="I234" s="6" t="n">
        <v>-236.43</v>
      </c>
      <c r="J234" s="6" t="n">
        <v>0</v>
      </c>
      <c r="K234" s="6" t="n">
        <v>0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1" t="n">
        <v>45279</v>
      </c>
      <c r="B235" s="22" t="s">
        <v>645</v>
      </c>
      <c r="C235" s="22" t="s">
        <v>257</v>
      </c>
      <c r="D235" s="22" t="s">
        <v>645</v>
      </c>
      <c r="E235" s="22" t="s">
        <v>645</v>
      </c>
      <c r="F235" s="22" t="s">
        <v>20</v>
      </c>
      <c r="G235" s="23" t="n">
        <v>1</v>
      </c>
      <c r="H235" s="24" t="n">
        <v>239</v>
      </c>
      <c r="I235" s="24" t="n">
        <v>239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0" t="n">
        <v>45279.658460648</v>
      </c>
      <c r="B236" s="2" t="s">
        <v>133</v>
      </c>
      <c r="C236" s="2" t="s">
        <v>656</v>
      </c>
      <c r="D236" s="2" t="s">
        <v>527</v>
      </c>
      <c r="E236" s="2" t="s">
        <v>124</v>
      </c>
      <c r="F236" s="2" t="s">
        <v>20</v>
      </c>
      <c r="G236" s="7" t="n">
        <v>180</v>
      </c>
      <c r="H236" s="6" t="n">
        <v>1.3143</v>
      </c>
      <c r="I236" s="6" t="n">
        <v>-236.57</v>
      </c>
      <c r="J236" s="6" t="n">
        <v>0</v>
      </c>
      <c r="K236" s="6" t="n">
        <v>0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1" t="n">
        <v>45280</v>
      </c>
      <c r="B237" s="22" t="s">
        <v>645</v>
      </c>
      <c r="C237" s="22" t="s">
        <v>257</v>
      </c>
      <c r="D237" s="22" t="s">
        <v>645</v>
      </c>
      <c r="E237" s="22" t="s">
        <v>645</v>
      </c>
      <c r="F237" s="22" t="s">
        <v>20</v>
      </c>
      <c r="G237" s="23" t="n">
        <v>1</v>
      </c>
      <c r="H237" s="24" t="n">
        <v>3274</v>
      </c>
      <c r="I237" s="24" t="n">
        <v>3274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45280.564398148</v>
      </c>
      <c r="B238" s="2" t="s">
        <v>155</v>
      </c>
      <c r="C238" s="2" t="s">
        <v>691</v>
      </c>
      <c r="D238" s="2" t="s">
        <v>527</v>
      </c>
      <c r="E238" s="2" t="s">
        <v>137</v>
      </c>
      <c r="F238" s="2" t="s">
        <v>20</v>
      </c>
      <c r="G238" s="7" t="n">
        <v>3</v>
      </c>
      <c r="H238" s="6" t="n">
        <v>97.53</v>
      </c>
      <c r="I238" s="6" t="n">
        <v>-2925.9</v>
      </c>
      <c r="J238" s="6" t="n">
        <v>-23.46</v>
      </c>
      <c r="K238" s="6" t="n">
        <v>-1.71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45280.56556713</v>
      </c>
      <c r="B239" s="2" t="s">
        <v>133</v>
      </c>
      <c r="C239" s="2" t="s">
        <v>656</v>
      </c>
      <c r="D239" s="2" t="s">
        <v>527</v>
      </c>
      <c r="E239" s="2" t="s">
        <v>124</v>
      </c>
      <c r="F239" s="2" t="s">
        <v>20</v>
      </c>
      <c r="G239" s="7" t="n">
        <v>250</v>
      </c>
      <c r="H239" s="6" t="n">
        <v>1.3148</v>
      </c>
      <c r="I239" s="6" t="n">
        <v>-328.7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1" t="n">
        <v>45286</v>
      </c>
      <c r="B240" s="22" t="s">
        <v>645</v>
      </c>
      <c r="C240" s="22" t="s">
        <v>257</v>
      </c>
      <c r="D240" s="22" t="s">
        <v>645</v>
      </c>
      <c r="E240" s="22" t="s">
        <v>645</v>
      </c>
      <c r="F240" s="22" t="s">
        <v>20</v>
      </c>
      <c r="G240" s="23" t="n">
        <v>2</v>
      </c>
      <c r="H240" s="24" t="n">
        <v>787.41</v>
      </c>
      <c r="I240" s="24" t="n">
        <v>1574.82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0" t="n">
        <v>45286.859479167</v>
      </c>
      <c r="B241" s="2" t="s">
        <v>133</v>
      </c>
      <c r="C241" s="2" t="s">
        <v>656</v>
      </c>
      <c r="D241" s="2" t="s">
        <v>527</v>
      </c>
      <c r="E241" s="2" t="s">
        <v>124</v>
      </c>
      <c r="F241" s="2" t="s">
        <v>20</v>
      </c>
      <c r="G241" s="7" t="n">
        <v>1190</v>
      </c>
      <c r="H241" s="6" t="n">
        <v>1.3181</v>
      </c>
      <c r="I241" s="6" t="n">
        <v>-1568.54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1" t="n">
        <v>45287</v>
      </c>
      <c r="B242" s="22" t="s">
        <v>645</v>
      </c>
      <c r="C242" s="22" t="s">
        <v>257</v>
      </c>
      <c r="D242" s="22" t="s">
        <v>645</v>
      </c>
      <c r="E242" s="22" t="s">
        <v>645</v>
      </c>
      <c r="F242" s="22" t="s">
        <v>20</v>
      </c>
      <c r="G242" s="23" t="n">
        <v>1</v>
      </c>
      <c r="H242" s="24" t="n">
        <v>17707.2</v>
      </c>
      <c r="I242" s="24" t="n">
        <v>17707.2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45287.596354167</v>
      </c>
      <c r="B243" s="2" t="s">
        <v>541</v>
      </c>
      <c r="C243" s="2" t="s">
        <v>692</v>
      </c>
      <c r="D243" s="2" t="s">
        <v>527</v>
      </c>
      <c r="E243" s="2" t="s">
        <v>137</v>
      </c>
      <c r="F243" s="2" t="s">
        <v>20</v>
      </c>
      <c r="G243" s="7" t="n">
        <v>3</v>
      </c>
      <c r="H243" s="6" t="n">
        <v>100.5</v>
      </c>
      <c r="I243" s="6" t="n">
        <v>-3015</v>
      </c>
      <c r="J243" s="6" t="n">
        <v>-17.37</v>
      </c>
      <c r="K243" s="6" t="n">
        <v>-1.77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0" t="n">
        <v>45287.597905093</v>
      </c>
      <c r="B244" s="2" t="s">
        <v>224</v>
      </c>
      <c r="C244" s="2" t="s">
        <v>693</v>
      </c>
      <c r="D244" s="2" t="s">
        <v>527</v>
      </c>
      <c r="E244" s="2" t="s">
        <v>137</v>
      </c>
      <c r="F244" s="2" t="s">
        <v>20</v>
      </c>
      <c r="G244" s="7" t="n">
        <v>2</v>
      </c>
      <c r="H244" s="6" t="n">
        <v>98.29</v>
      </c>
      <c r="I244" s="6" t="n">
        <v>-1965.8</v>
      </c>
      <c r="J244" s="6" t="n">
        <v>-1.4</v>
      </c>
      <c r="K244" s="6" t="n">
        <v>-1.15</v>
      </c>
      <c r="L244" s="6" t="n">
        <v>0</v>
      </c>
      <c r="M244" s="6" t="s">
        <f>=I244+J244+K244+L244</f>
      </c>
      <c r="N244" s="6"/>
      <c r="O244" s="2"/>
    </row>
    <row collapsed="false" customFormat="false" customHeight="false" hidden="false" ht="12.1" outlineLevel="0" r="245">
      <c r="A245" s="20" t="n">
        <v>45287.599351852</v>
      </c>
      <c r="B245" s="2" t="s">
        <v>209</v>
      </c>
      <c r="C245" s="2" t="s">
        <v>694</v>
      </c>
      <c r="D245" s="2" t="s">
        <v>527</v>
      </c>
      <c r="E245" s="2" t="s">
        <v>137</v>
      </c>
      <c r="F245" s="2" t="s">
        <v>20</v>
      </c>
      <c r="G245" s="7" t="n">
        <v>2</v>
      </c>
      <c r="H245" s="6" t="n">
        <v>96.69</v>
      </c>
      <c r="I245" s="6" t="n">
        <v>-1933.8</v>
      </c>
      <c r="J245" s="6" t="n">
        <v>-62.14</v>
      </c>
      <c r="K245" s="6" t="n">
        <v>-1.12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0" t="n">
        <v>45287.603854167</v>
      </c>
      <c r="B246" s="2" t="s">
        <v>542</v>
      </c>
      <c r="C246" s="2" t="s">
        <v>695</v>
      </c>
      <c r="D246" s="2" t="s">
        <v>527</v>
      </c>
      <c r="E246" s="2" t="s">
        <v>137</v>
      </c>
      <c r="F246" s="2" t="s">
        <v>20</v>
      </c>
      <c r="G246" s="7" t="n">
        <v>2</v>
      </c>
      <c r="H246" s="6" t="n">
        <v>100.62</v>
      </c>
      <c r="I246" s="6" t="n">
        <v>-2012.4</v>
      </c>
      <c r="J246" s="6" t="n">
        <v>-77.92</v>
      </c>
      <c r="K246" s="6" t="n">
        <v>-1.18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45287.606064815</v>
      </c>
      <c r="B247" s="2" t="s">
        <v>57</v>
      </c>
      <c r="C247" s="2" t="s">
        <v>696</v>
      </c>
      <c r="D247" s="2" t="s">
        <v>527</v>
      </c>
      <c r="E247" s="2" t="s">
        <v>18</v>
      </c>
      <c r="F247" s="2" t="s">
        <v>20</v>
      </c>
      <c r="G247" s="7" t="n">
        <v>2</v>
      </c>
      <c r="H247" s="6" t="n">
        <v>680</v>
      </c>
      <c r="I247" s="6" t="n">
        <v>-1360</v>
      </c>
      <c r="J247" s="6" t="n">
        <v>0</v>
      </c>
      <c r="K247" s="6" t="n">
        <v>-1.08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45287.606782407</v>
      </c>
      <c r="B248" s="2" t="s">
        <v>133</v>
      </c>
      <c r="C248" s="2" t="s">
        <v>656</v>
      </c>
      <c r="D248" s="2" t="s">
        <v>527</v>
      </c>
      <c r="E248" s="2" t="s">
        <v>124</v>
      </c>
      <c r="F248" s="2" t="s">
        <v>20</v>
      </c>
      <c r="G248" s="7" t="n">
        <v>5505</v>
      </c>
      <c r="H248" s="6" t="n">
        <v>1.3187</v>
      </c>
      <c r="I248" s="6" t="n">
        <v>-7259.44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1" t="n">
        <v>45288</v>
      </c>
      <c r="B249" s="22" t="s">
        <v>645</v>
      </c>
      <c r="C249" s="22" t="s">
        <v>257</v>
      </c>
      <c r="D249" s="22" t="s">
        <v>645</v>
      </c>
      <c r="E249" s="22" t="s">
        <v>645</v>
      </c>
      <c r="F249" s="22" t="s">
        <v>20</v>
      </c>
      <c r="G249" s="23" t="n">
        <v>2</v>
      </c>
      <c r="H249" s="24" t="n">
        <v>59347</v>
      </c>
      <c r="I249" s="24" t="n">
        <v>118694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2"/>
    </row>
    <row collapsed="false" customFormat="false" customHeight="false" hidden="false" ht="12.1" outlineLevel="0" r="250">
      <c r="A250" s="20" t="n">
        <v>45288.767511574</v>
      </c>
      <c r="B250" s="2" t="s">
        <v>685</v>
      </c>
      <c r="C250" s="2" t="s">
        <v>686</v>
      </c>
      <c r="D250" s="2" t="s">
        <v>527</v>
      </c>
      <c r="E250" s="2" t="s">
        <v>687</v>
      </c>
      <c r="F250" s="2" t="s">
        <v>20</v>
      </c>
      <c r="G250" s="7" t="n">
        <v>1000</v>
      </c>
      <c r="H250" s="6" t="n">
        <v>12.634</v>
      </c>
      <c r="I250" s="6" t="n">
        <v>-12634</v>
      </c>
      <c r="J250" s="6" t="n">
        <v>0</v>
      </c>
      <c r="K250" s="6" t="n">
        <v>-56.32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45288.768287037</v>
      </c>
      <c r="B251" s="2" t="s">
        <v>133</v>
      </c>
      <c r="C251" s="2" t="s">
        <v>656</v>
      </c>
      <c r="D251" s="2" t="s">
        <v>527</v>
      </c>
      <c r="E251" s="2" t="s">
        <v>124</v>
      </c>
      <c r="F251" s="2" t="s">
        <v>20</v>
      </c>
      <c r="G251" s="7" t="n">
        <v>80270</v>
      </c>
      <c r="H251" s="6" t="n">
        <v>1.3201</v>
      </c>
      <c r="I251" s="6" t="n">
        <v>-105964.43</v>
      </c>
      <c r="J251" s="6" t="n">
        <v>0</v>
      </c>
      <c r="K251" s="6" t="n">
        <v>-14.6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45303.765335648</v>
      </c>
      <c r="B252" s="2" t="s">
        <v>133</v>
      </c>
      <c r="C252" s="2" t="s">
        <v>656</v>
      </c>
      <c r="D252" s="2" t="s">
        <v>527</v>
      </c>
      <c r="E252" s="2" t="s">
        <v>124</v>
      </c>
      <c r="F252" s="2" t="s">
        <v>20</v>
      </c>
      <c r="G252" s="7" t="n">
        <v>130</v>
      </c>
      <c r="H252" s="6" t="n">
        <v>1.3282</v>
      </c>
      <c r="I252" s="6" t="n">
        <v>-172.67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0" t="n">
        <v>45307.51</v>
      </c>
      <c r="B253" s="2" t="s">
        <v>543</v>
      </c>
      <c r="C253" s="2" t="s">
        <v>697</v>
      </c>
      <c r="D253" s="2" t="s">
        <v>527</v>
      </c>
      <c r="E253" s="2" t="s">
        <v>137</v>
      </c>
      <c r="F253" s="2" t="s">
        <v>20</v>
      </c>
      <c r="G253" s="7" t="n">
        <v>3</v>
      </c>
      <c r="H253" s="6" t="n">
        <v>95.22</v>
      </c>
      <c r="I253" s="6" t="n">
        <v>-2856.6</v>
      </c>
      <c r="J253" s="6" t="n">
        <v>-81.93</v>
      </c>
      <c r="K253" s="6" t="n">
        <v>-1.79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45307.51212963</v>
      </c>
      <c r="B254" s="2" t="s">
        <v>239</v>
      </c>
      <c r="C254" s="2" t="s">
        <v>698</v>
      </c>
      <c r="D254" s="2" t="s">
        <v>527</v>
      </c>
      <c r="E254" s="2" t="s">
        <v>137</v>
      </c>
      <c r="F254" s="2" t="s">
        <v>20</v>
      </c>
      <c r="G254" s="7" t="n">
        <v>2</v>
      </c>
      <c r="H254" s="6" t="n">
        <v>94.63</v>
      </c>
      <c r="I254" s="6" t="n">
        <v>-1892.6</v>
      </c>
      <c r="J254" s="6" t="n">
        <v>-66.9</v>
      </c>
      <c r="K254" s="6" t="n">
        <v>-1.19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45307.514108796</v>
      </c>
      <c r="B255" s="2" t="s">
        <v>197</v>
      </c>
      <c r="C255" s="2" t="s">
        <v>699</v>
      </c>
      <c r="D255" s="2" t="s">
        <v>527</v>
      </c>
      <c r="E255" s="2" t="s">
        <v>137</v>
      </c>
      <c r="F255" s="2" t="s">
        <v>20</v>
      </c>
      <c r="G255" s="7" t="n">
        <v>5</v>
      </c>
      <c r="H255" s="6" t="n">
        <v>92</v>
      </c>
      <c r="I255" s="6" t="n">
        <v>-4600</v>
      </c>
      <c r="J255" s="6" t="n">
        <v>-51.35</v>
      </c>
      <c r="K255" s="6" t="n">
        <v>-2.87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45307.528842593</v>
      </c>
      <c r="B256" s="2" t="s">
        <v>212</v>
      </c>
      <c r="C256" s="2" t="s">
        <v>700</v>
      </c>
      <c r="D256" s="2" t="s">
        <v>527</v>
      </c>
      <c r="E256" s="2" t="s">
        <v>137</v>
      </c>
      <c r="F256" s="2" t="s">
        <v>20</v>
      </c>
      <c r="G256" s="7" t="n">
        <v>2</v>
      </c>
      <c r="H256" s="6" t="n">
        <v>95.04</v>
      </c>
      <c r="I256" s="6" t="n">
        <v>-1900.8</v>
      </c>
      <c r="J256" s="6" t="n">
        <v>-8.4</v>
      </c>
      <c r="K256" s="6" t="n">
        <v>-1.19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0" t="n">
        <v>45307.529259259</v>
      </c>
      <c r="B257" s="2" t="s">
        <v>227</v>
      </c>
      <c r="C257" s="2" t="s">
        <v>701</v>
      </c>
      <c r="D257" s="2" t="s">
        <v>527</v>
      </c>
      <c r="E257" s="2" t="s">
        <v>137</v>
      </c>
      <c r="F257" s="2" t="s">
        <v>20</v>
      </c>
      <c r="G257" s="7" t="n">
        <v>2</v>
      </c>
      <c r="H257" s="6" t="n">
        <v>99.12</v>
      </c>
      <c r="I257" s="6" t="n">
        <v>-1982.4</v>
      </c>
      <c r="J257" s="6" t="n">
        <v>-110.78</v>
      </c>
      <c r="K257" s="6" t="n">
        <v>-1.24</v>
      </c>
      <c r="L257" s="6" t="n">
        <v>0</v>
      </c>
      <c r="M257" s="6" t="s">
        <f>=I257+J257+K257+L257</f>
      </c>
      <c r="N257" s="6"/>
      <c r="O257" s="2"/>
    </row>
    <row collapsed="false" customFormat="false" customHeight="false" hidden="false" ht="12.1" outlineLevel="0" r="258">
      <c r="A258" s="20" t="n">
        <v>45307.530520833</v>
      </c>
      <c r="B258" s="2" t="s">
        <v>158</v>
      </c>
      <c r="C258" s="2" t="s">
        <v>702</v>
      </c>
      <c r="D258" s="2" t="s">
        <v>527</v>
      </c>
      <c r="E258" s="2" t="s">
        <v>137</v>
      </c>
      <c r="F258" s="2" t="s">
        <v>20</v>
      </c>
      <c r="G258" s="7" t="n">
        <v>5</v>
      </c>
      <c r="H258" s="6" t="n">
        <v>81.251</v>
      </c>
      <c r="I258" s="6" t="n">
        <v>-4062.55</v>
      </c>
      <c r="J258" s="6" t="n">
        <v>-109.25</v>
      </c>
      <c r="K258" s="6" t="n">
        <v>-2.54</v>
      </c>
      <c r="L258" s="6" t="n">
        <v>0</v>
      </c>
      <c r="M258" s="6" t="s">
        <f>=I258+J258+K258+L258</f>
      </c>
      <c r="N258" s="6"/>
      <c r="O258" s="2"/>
    </row>
    <row collapsed="false" customFormat="false" customHeight="false" hidden="false" ht="12.1" outlineLevel="0" r="259">
      <c r="A259" s="20" t="n">
        <v>45307.531435185</v>
      </c>
      <c r="B259" s="2" t="s">
        <v>544</v>
      </c>
      <c r="C259" s="2" t="s">
        <v>703</v>
      </c>
      <c r="D259" s="2" t="s">
        <v>527</v>
      </c>
      <c r="E259" s="2" t="s">
        <v>137</v>
      </c>
      <c r="F259" s="2" t="s">
        <v>20</v>
      </c>
      <c r="G259" s="7" t="n">
        <v>2</v>
      </c>
      <c r="H259" s="6" t="n">
        <v>100.33</v>
      </c>
      <c r="I259" s="6" t="n">
        <v>-2006.6</v>
      </c>
      <c r="J259" s="6" t="n">
        <v>-59.34</v>
      </c>
      <c r="K259" s="6" t="n">
        <v>-1.24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45307.532141204</v>
      </c>
      <c r="B260" s="2" t="s">
        <v>203</v>
      </c>
      <c r="C260" s="2" t="s">
        <v>704</v>
      </c>
      <c r="D260" s="2" t="s">
        <v>527</v>
      </c>
      <c r="E260" s="2" t="s">
        <v>137</v>
      </c>
      <c r="F260" s="2" t="s">
        <v>20</v>
      </c>
      <c r="G260" s="7" t="n">
        <v>2</v>
      </c>
      <c r="H260" s="6" t="n">
        <v>97.95</v>
      </c>
      <c r="I260" s="6" t="n">
        <v>-1959</v>
      </c>
      <c r="J260" s="6" t="n">
        <v>-42.04</v>
      </c>
      <c r="K260" s="6" t="n">
        <v>-1.22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5" t="n">
        <v>45307.542418981</v>
      </c>
      <c r="B261" s="26" t="s">
        <v>133</v>
      </c>
      <c r="C261" s="26" t="s">
        <v>656</v>
      </c>
      <c r="D261" s="26" t="s">
        <v>528</v>
      </c>
      <c r="E261" s="26" t="s">
        <v>124</v>
      </c>
      <c r="F261" s="26" t="s">
        <v>20</v>
      </c>
      <c r="G261" s="27" t="n">
        <v>-16370</v>
      </c>
      <c r="H261" s="28" t="n">
        <v>1.3293930360415</v>
      </c>
      <c r="I261" s="28" t="n">
        <v>21762.16</v>
      </c>
      <c r="J261" s="28" t="n">
        <v>0</v>
      </c>
      <c r="K261" s="28" t="n">
        <v>0</v>
      </c>
      <c r="L261" s="28" t="n">
        <v>0</v>
      </c>
      <c r="M261" s="6" t="s">
        <f>=I261+J261+K261+L261</f>
      </c>
      <c r="N261" s="28"/>
      <c r="O261" s="26"/>
    </row>
    <row collapsed="false" customFormat="false" customHeight="false" hidden="false" ht="12.1" outlineLevel="0" r="262">
      <c r="A262" s="20" t="n">
        <v>45308.587094907</v>
      </c>
      <c r="B262" s="2" t="s">
        <v>194</v>
      </c>
      <c r="C262" s="2" t="s">
        <v>705</v>
      </c>
      <c r="D262" s="2" t="s">
        <v>527</v>
      </c>
      <c r="E262" s="2" t="s">
        <v>137</v>
      </c>
      <c r="F262" s="2" t="s">
        <v>20</v>
      </c>
      <c r="G262" s="7" t="n">
        <v>5</v>
      </c>
      <c r="H262" s="6" t="n">
        <v>101.7</v>
      </c>
      <c r="I262" s="6" t="n">
        <v>-5085</v>
      </c>
      <c r="J262" s="6" t="n">
        <v>-6.6</v>
      </c>
      <c r="K262" s="6" t="n">
        <v>-3.18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5" t="n">
        <v>45308.9321875</v>
      </c>
      <c r="B263" s="26" t="s">
        <v>133</v>
      </c>
      <c r="C263" s="26" t="s">
        <v>656</v>
      </c>
      <c r="D263" s="26" t="s">
        <v>528</v>
      </c>
      <c r="E263" s="26" t="s">
        <v>124</v>
      </c>
      <c r="F263" s="26" t="s">
        <v>20</v>
      </c>
      <c r="G263" s="27" t="n">
        <v>-3850</v>
      </c>
      <c r="H263" s="28" t="n">
        <v>1.3293</v>
      </c>
      <c r="I263" s="28" t="n">
        <v>5117.81</v>
      </c>
      <c r="J263" s="28" t="n">
        <v>0</v>
      </c>
      <c r="K263" s="28" t="n">
        <v>0</v>
      </c>
      <c r="L263" s="28" t="n">
        <v>0</v>
      </c>
      <c r="M263" s="6" t="s">
        <f>=I263+J263+K263+L263</f>
      </c>
      <c r="N263" s="28"/>
      <c r="O263" s="26"/>
    </row>
    <row collapsed="false" customFormat="false" customHeight="false" hidden="false" ht="12.1" outlineLevel="0" r="264">
      <c r="A264" s="20" t="n">
        <v>45315.682106481</v>
      </c>
      <c r="B264" s="2" t="s">
        <v>133</v>
      </c>
      <c r="C264" s="2" t="s">
        <v>656</v>
      </c>
      <c r="D264" s="2" t="s">
        <v>527</v>
      </c>
      <c r="E264" s="2" t="s">
        <v>124</v>
      </c>
      <c r="F264" s="2" t="s">
        <v>20</v>
      </c>
      <c r="G264" s="7" t="n">
        <v>20</v>
      </c>
      <c r="H264" s="6" t="n">
        <v>1.3341</v>
      </c>
      <c r="I264" s="6" t="n">
        <v>-26.68</v>
      </c>
      <c r="J264" s="6" t="n">
        <v>0</v>
      </c>
      <c r="K264" s="6" t="n">
        <v>0</v>
      </c>
      <c r="L264" s="6" t="n">
        <v>0</v>
      </c>
      <c r="M264" s="6" t="s">
        <f>=I264+J264+K264+L264</f>
      </c>
      <c r="N264" s="6"/>
      <c r="O264" s="2"/>
    </row>
    <row collapsed="false" customFormat="false" customHeight="false" hidden="false" ht="12.1" outlineLevel="0" r="265">
      <c r="A265" s="20" t="n">
        <v>45316.678599537</v>
      </c>
      <c r="B265" s="2" t="s">
        <v>133</v>
      </c>
      <c r="C265" s="2" t="s">
        <v>656</v>
      </c>
      <c r="D265" s="2" t="s">
        <v>527</v>
      </c>
      <c r="E265" s="2" t="s">
        <v>124</v>
      </c>
      <c r="F265" s="2" t="s">
        <v>20</v>
      </c>
      <c r="G265" s="7" t="n">
        <v>68</v>
      </c>
      <c r="H265" s="6" t="n">
        <v>1.3347</v>
      </c>
      <c r="I265" s="6" t="n">
        <v>-90.76</v>
      </c>
      <c r="J265" s="6" t="n">
        <v>0</v>
      </c>
      <c r="K265" s="6" t="n">
        <v>0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1" t="n">
        <v>45321</v>
      </c>
      <c r="B266" s="22" t="s">
        <v>645</v>
      </c>
      <c r="C266" s="22" t="s">
        <v>257</v>
      </c>
      <c r="D266" s="22" t="s">
        <v>645</v>
      </c>
      <c r="E266" s="22" t="s">
        <v>645</v>
      </c>
      <c r="F266" s="22" t="s">
        <v>20</v>
      </c>
      <c r="G266" s="23" t="n">
        <v>1</v>
      </c>
      <c r="H266" s="24" t="n">
        <v>80.31</v>
      </c>
      <c r="I266" s="24" t="n">
        <v>80.31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0" t="n">
        <v>45321.452465278</v>
      </c>
      <c r="B267" s="2" t="s">
        <v>545</v>
      </c>
      <c r="C267" s="2" t="s">
        <v>706</v>
      </c>
      <c r="D267" s="2" t="s">
        <v>527</v>
      </c>
      <c r="E267" s="2" t="s">
        <v>137</v>
      </c>
      <c r="F267" s="2" t="s">
        <v>20</v>
      </c>
      <c r="G267" s="7" t="n">
        <v>2</v>
      </c>
      <c r="H267" s="6" t="n">
        <v>94.52</v>
      </c>
      <c r="I267" s="6" t="n">
        <v>-1890.4</v>
      </c>
      <c r="J267" s="6" t="n">
        <v>-14.24</v>
      </c>
      <c r="K267" s="6" t="n">
        <v>-1.11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45321.456099537</v>
      </c>
      <c r="B268" s="2" t="s">
        <v>212</v>
      </c>
      <c r="C268" s="2" t="s">
        <v>700</v>
      </c>
      <c r="D268" s="2" t="s">
        <v>527</v>
      </c>
      <c r="E268" s="2" t="s">
        <v>137</v>
      </c>
      <c r="F268" s="2" t="s">
        <v>20</v>
      </c>
      <c r="G268" s="7" t="n">
        <v>2</v>
      </c>
      <c r="H268" s="6" t="n">
        <v>94.94</v>
      </c>
      <c r="I268" s="6" t="n">
        <v>-1898.8</v>
      </c>
      <c r="J268" s="6" t="n">
        <v>-17.46</v>
      </c>
      <c r="K268" s="6" t="n">
        <v>-1.11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45321.459884259</v>
      </c>
      <c r="B269" s="2" t="s">
        <v>218</v>
      </c>
      <c r="C269" s="2" t="s">
        <v>707</v>
      </c>
      <c r="D269" s="2" t="s">
        <v>527</v>
      </c>
      <c r="E269" s="2" t="s">
        <v>137</v>
      </c>
      <c r="F269" s="2" t="s">
        <v>20</v>
      </c>
      <c r="G269" s="7" t="n">
        <v>3</v>
      </c>
      <c r="H269" s="6" t="n">
        <v>91.74</v>
      </c>
      <c r="I269" s="6" t="n">
        <v>-2752.2</v>
      </c>
      <c r="J269" s="6" t="n">
        <v>-49.89</v>
      </c>
      <c r="K269" s="6" t="n">
        <v>-1.61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45321.460752315</v>
      </c>
      <c r="B270" s="2" t="s">
        <v>206</v>
      </c>
      <c r="C270" s="2" t="s">
        <v>708</v>
      </c>
      <c r="D270" s="2" t="s">
        <v>527</v>
      </c>
      <c r="E270" s="2" t="s">
        <v>137</v>
      </c>
      <c r="F270" s="2" t="s">
        <v>20</v>
      </c>
      <c r="G270" s="7" t="n">
        <v>3</v>
      </c>
      <c r="H270" s="6" t="n">
        <v>86.57</v>
      </c>
      <c r="I270" s="6" t="n">
        <v>-2597.1</v>
      </c>
      <c r="J270" s="6" t="n">
        <v>-111.75</v>
      </c>
      <c r="K270" s="6" t="n">
        <v>-1.52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5" t="n">
        <v>45321.563391204</v>
      </c>
      <c r="B271" s="26" t="s">
        <v>133</v>
      </c>
      <c r="C271" s="26" t="s">
        <v>656</v>
      </c>
      <c r="D271" s="26" t="s">
        <v>528</v>
      </c>
      <c r="E271" s="26" t="s">
        <v>124</v>
      </c>
      <c r="F271" s="26" t="s">
        <v>20</v>
      </c>
      <c r="G271" s="27" t="n">
        <v>-17440</v>
      </c>
      <c r="H271" s="28" t="n">
        <v>1.3374</v>
      </c>
      <c r="I271" s="28" t="n">
        <v>23324.26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0" t="n">
        <v>45321.566296296</v>
      </c>
      <c r="B272" s="2" t="s">
        <v>126</v>
      </c>
      <c r="C272" s="2" t="s">
        <v>709</v>
      </c>
      <c r="D272" s="2" t="s">
        <v>527</v>
      </c>
      <c r="E272" s="2" t="s">
        <v>124</v>
      </c>
      <c r="F272" s="2" t="s">
        <v>20</v>
      </c>
      <c r="G272" s="7" t="n">
        <v>100</v>
      </c>
      <c r="H272" s="6" t="n">
        <v>139.6</v>
      </c>
      <c r="I272" s="6" t="n">
        <v>-13960</v>
      </c>
      <c r="J272" s="6" t="n">
        <v>0</v>
      </c>
      <c r="K272" s="6" t="n">
        <v>-4.19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45323.581493056</v>
      </c>
      <c r="B273" s="2" t="s">
        <v>46</v>
      </c>
      <c r="C273" s="2" t="s">
        <v>710</v>
      </c>
      <c r="D273" s="2" t="s">
        <v>527</v>
      </c>
      <c r="E273" s="2" t="s">
        <v>18</v>
      </c>
      <c r="F273" s="2" t="s">
        <v>20</v>
      </c>
      <c r="G273" s="7" t="n">
        <v>2</v>
      </c>
      <c r="H273" s="6" t="n">
        <v>858.8</v>
      </c>
      <c r="I273" s="6" t="n">
        <v>-1717.6</v>
      </c>
      <c r="J273" s="6" t="n">
        <v>0</v>
      </c>
      <c r="K273" s="6" t="n">
        <v>-1.38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5" t="n">
        <v>45323.622314815</v>
      </c>
      <c r="B274" s="26" t="s">
        <v>133</v>
      </c>
      <c r="C274" s="26" t="s">
        <v>656</v>
      </c>
      <c r="D274" s="26" t="s">
        <v>528</v>
      </c>
      <c r="E274" s="26" t="s">
        <v>124</v>
      </c>
      <c r="F274" s="26" t="s">
        <v>20</v>
      </c>
      <c r="G274" s="27" t="n">
        <v>-1200</v>
      </c>
      <c r="H274" s="28" t="n">
        <v>1.3384</v>
      </c>
      <c r="I274" s="28" t="n">
        <v>1606.08</v>
      </c>
      <c r="J274" s="28" t="n">
        <v>0</v>
      </c>
      <c r="K274" s="28" t="n">
        <v>0</v>
      </c>
      <c r="L274" s="28" t="n">
        <v>0</v>
      </c>
      <c r="M274" s="6" t="s">
        <f>=I274+J274+K274+L274</f>
      </c>
      <c r="N274" s="28"/>
      <c r="O274" s="26"/>
    </row>
    <row collapsed="false" customFormat="false" customHeight="false" hidden="false" ht="12.1" outlineLevel="0" r="275">
      <c r="A275" s="20" t="n">
        <v>45324.575300926</v>
      </c>
      <c r="B275" s="2" t="s">
        <v>123</v>
      </c>
      <c r="C275" s="2" t="s">
        <v>711</v>
      </c>
      <c r="D275" s="2" t="s">
        <v>527</v>
      </c>
      <c r="E275" s="2" t="s">
        <v>124</v>
      </c>
      <c r="F275" s="2" t="s">
        <v>20</v>
      </c>
      <c r="G275" s="7" t="n">
        <v>700</v>
      </c>
      <c r="H275" s="6" t="n">
        <v>134.69285714286</v>
      </c>
      <c r="I275" s="6" t="n">
        <v>-94285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5" t="n">
        <v>45324.588136574</v>
      </c>
      <c r="B276" s="26" t="s">
        <v>133</v>
      </c>
      <c r="C276" s="26" t="s">
        <v>656</v>
      </c>
      <c r="D276" s="26" t="s">
        <v>528</v>
      </c>
      <c r="E276" s="26" t="s">
        <v>124</v>
      </c>
      <c r="F276" s="26" t="s">
        <v>20</v>
      </c>
      <c r="G276" s="27" t="n">
        <v>-75007</v>
      </c>
      <c r="H276" s="28" t="n">
        <v>1.34</v>
      </c>
      <c r="I276" s="28" t="n">
        <v>100509.38</v>
      </c>
      <c r="J276" s="28" t="n">
        <v>0</v>
      </c>
      <c r="K276" s="28" t="n">
        <v>0</v>
      </c>
      <c r="L276" s="28" t="n">
        <v>0</v>
      </c>
      <c r="M276" s="6" t="s">
        <f>=I276+J276+K276+L276</f>
      </c>
      <c r="N276" s="28"/>
      <c r="O276" s="26"/>
    </row>
    <row collapsed="false" customFormat="false" customHeight="false" hidden="false" ht="12.1" outlineLevel="0" r="277">
      <c r="A277" s="20" t="n">
        <v>45324.646203704</v>
      </c>
      <c r="B277" s="2" t="s">
        <v>221</v>
      </c>
      <c r="C277" s="2" t="s">
        <v>712</v>
      </c>
      <c r="D277" s="2" t="s">
        <v>527</v>
      </c>
      <c r="E277" s="2" t="s">
        <v>137</v>
      </c>
      <c r="F277" s="2" t="s">
        <v>20</v>
      </c>
      <c r="G277" s="7" t="n">
        <v>7</v>
      </c>
      <c r="H277" s="6" t="n">
        <v>89.135714285714</v>
      </c>
      <c r="I277" s="6" t="n">
        <v>-6239.5</v>
      </c>
      <c r="J277" s="6" t="n">
        <v>-6.16</v>
      </c>
      <c r="K277" s="6" t="n">
        <v>-0.92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45327</v>
      </c>
      <c r="B278" s="22" t="s">
        <v>645</v>
      </c>
      <c r="C278" s="22" t="s">
        <v>257</v>
      </c>
      <c r="D278" s="22" t="s">
        <v>645</v>
      </c>
      <c r="E278" s="22" t="s">
        <v>645</v>
      </c>
      <c r="F278" s="22" t="s">
        <v>20</v>
      </c>
      <c r="G278" s="23" t="n">
        <v>1</v>
      </c>
      <c r="H278" s="24" t="n">
        <v>10.26</v>
      </c>
      <c r="I278" s="24" t="n">
        <v>10.26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45327.781828704</v>
      </c>
      <c r="B279" s="2" t="s">
        <v>179</v>
      </c>
      <c r="C279" s="2" t="s">
        <v>713</v>
      </c>
      <c r="D279" s="2" t="s">
        <v>527</v>
      </c>
      <c r="E279" s="2" t="s">
        <v>137</v>
      </c>
      <c r="F279" s="2" t="s">
        <v>20</v>
      </c>
      <c r="G279" s="7" t="n">
        <v>10</v>
      </c>
      <c r="H279" s="6" t="n">
        <v>91.18</v>
      </c>
      <c r="I279" s="6" t="n">
        <v>-9118</v>
      </c>
      <c r="J279" s="6" t="n">
        <v>-162.6</v>
      </c>
      <c r="K279" s="6" t="n">
        <v>-5.93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45327.783877315</v>
      </c>
      <c r="B280" s="2" t="s">
        <v>176</v>
      </c>
      <c r="C280" s="2" t="s">
        <v>714</v>
      </c>
      <c r="D280" s="2" t="s">
        <v>527</v>
      </c>
      <c r="E280" s="2" t="s">
        <v>137</v>
      </c>
      <c r="F280" s="2" t="s">
        <v>20</v>
      </c>
      <c r="G280" s="7" t="n">
        <v>10</v>
      </c>
      <c r="H280" s="6" t="n">
        <v>91.4</v>
      </c>
      <c r="I280" s="6" t="n">
        <v>-9140</v>
      </c>
      <c r="J280" s="6" t="n">
        <v>-295.1</v>
      </c>
      <c r="K280" s="6" t="n">
        <v>-5.94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0" t="n">
        <v>45327.796111111</v>
      </c>
      <c r="B281" s="2" t="s">
        <v>158</v>
      </c>
      <c r="C281" s="2" t="s">
        <v>702</v>
      </c>
      <c r="D281" s="2" t="s">
        <v>527</v>
      </c>
      <c r="E281" s="2" t="s">
        <v>137</v>
      </c>
      <c r="F281" s="2" t="s">
        <v>20</v>
      </c>
      <c r="G281" s="7" t="n">
        <v>5</v>
      </c>
      <c r="H281" s="6" t="n">
        <v>81.349</v>
      </c>
      <c r="I281" s="6" t="n">
        <v>-4067.45</v>
      </c>
      <c r="J281" s="6" t="n">
        <v>-127.6</v>
      </c>
      <c r="K281" s="6" t="n">
        <v>-0.61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45327.797372685</v>
      </c>
      <c r="B282" s="2" t="s">
        <v>126</v>
      </c>
      <c r="C282" s="2" t="s">
        <v>709</v>
      </c>
      <c r="D282" s="2" t="s">
        <v>527</v>
      </c>
      <c r="E282" s="2" t="s">
        <v>124</v>
      </c>
      <c r="F282" s="2" t="s">
        <v>20</v>
      </c>
      <c r="G282" s="7" t="n">
        <v>50</v>
      </c>
      <c r="H282" s="6" t="n">
        <v>139.78</v>
      </c>
      <c r="I282" s="6" t="n">
        <v>-6989</v>
      </c>
      <c r="J282" s="6" t="n">
        <v>0</v>
      </c>
      <c r="K282" s="6" t="n">
        <v>-0.09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5" t="n">
        <v>45327.798425926</v>
      </c>
      <c r="B283" s="26" t="s">
        <v>133</v>
      </c>
      <c r="C283" s="26" t="s">
        <v>656</v>
      </c>
      <c r="D283" s="26" t="s">
        <v>528</v>
      </c>
      <c r="E283" s="26" t="s">
        <v>124</v>
      </c>
      <c r="F283" s="26" t="s">
        <v>20</v>
      </c>
      <c r="G283" s="27" t="n">
        <v>-23000</v>
      </c>
      <c r="H283" s="28" t="n">
        <v>1.3401</v>
      </c>
      <c r="I283" s="28" t="n">
        <v>30822.3</v>
      </c>
      <c r="J283" s="28" t="n">
        <v>0</v>
      </c>
      <c r="K283" s="28" t="n">
        <v>-9.25</v>
      </c>
      <c r="L283" s="28" t="n">
        <v>0</v>
      </c>
      <c r="M283" s="6" t="s">
        <f>=I283+J283+K283+L283</f>
      </c>
      <c r="N283" s="28"/>
      <c r="O283" s="26"/>
    </row>
    <row collapsed="false" customFormat="false" customHeight="false" hidden="false" ht="12.1" outlineLevel="0" r="284">
      <c r="A284" s="20" t="n">
        <v>45327.799560185</v>
      </c>
      <c r="B284" s="2" t="s">
        <v>128</v>
      </c>
      <c r="C284" s="2" t="s">
        <v>657</v>
      </c>
      <c r="D284" s="2" t="s">
        <v>527</v>
      </c>
      <c r="E284" s="2" t="s">
        <v>124</v>
      </c>
      <c r="F284" s="2" t="s">
        <v>20</v>
      </c>
      <c r="G284" s="7" t="n">
        <v>600</v>
      </c>
      <c r="H284" s="6" t="n">
        <v>1.5095</v>
      </c>
      <c r="I284" s="6" t="n">
        <v>-905.7</v>
      </c>
      <c r="J284" s="6" t="n">
        <v>0</v>
      </c>
      <c r="K284" s="6" t="n">
        <v>-0.28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45336.779583333</v>
      </c>
      <c r="B285" s="2" t="s">
        <v>133</v>
      </c>
      <c r="C285" s="2" t="s">
        <v>656</v>
      </c>
      <c r="D285" s="2" t="s">
        <v>527</v>
      </c>
      <c r="E285" s="2" t="s">
        <v>124</v>
      </c>
      <c r="F285" s="2" t="s">
        <v>20</v>
      </c>
      <c r="G285" s="7" t="n">
        <v>10</v>
      </c>
      <c r="H285" s="6" t="n">
        <v>1.3457</v>
      </c>
      <c r="I285" s="6" t="n">
        <v>-13.46</v>
      </c>
      <c r="J285" s="6" t="n">
        <v>0</v>
      </c>
      <c r="K285" s="6" t="n">
        <v>0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45341.569386574</v>
      </c>
      <c r="B286" s="2" t="s">
        <v>158</v>
      </c>
      <c r="C286" s="2" t="s">
        <v>702</v>
      </c>
      <c r="D286" s="2" t="s">
        <v>527</v>
      </c>
      <c r="E286" s="2" t="s">
        <v>137</v>
      </c>
      <c r="F286" s="2" t="s">
        <v>20</v>
      </c>
      <c r="G286" s="7" t="n">
        <v>5</v>
      </c>
      <c r="H286" s="6" t="n">
        <v>80.694</v>
      </c>
      <c r="I286" s="6" t="n">
        <v>-4034.7</v>
      </c>
      <c r="J286" s="6" t="n">
        <v>-140.45</v>
      </c>
      <c r="K286" s="6" t="n">
        <v>-2.36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45341.569965278</v>
      </c>
      <c r="B287" s="2" t="s">
        <v>176</v>
      </c>
      <c r="C287" s="2" t="s">
        <v>714</v>
      </c>
      <c r="D287" s="2" t="s">
        <v>527</v>
      </c>
      <c r="E287" s="2" t="s">
        <v>137</v>
      </c>
      <c r="F287" s="2" t="s">
        <v>20</v>
      </c>
      <c r="G287" s="7" t="n">
        <v>5</v>
      </c>
      <c r="H287" s="6" t="n">
        <v>90.967</v>
      </c>
      <c r="I287" s="6" t="n">
        <v>-4548.35</v>
      </c>
      <c r="J287" s="6" t="n">
        <v>-162.4</v>
      </c>
      <c r="K287" s="6" t="n">
        <v>-2.65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20" t="n">
        <v>45341.571111111</v>
      </c>
      <c r="B288" s="2" t="s">
        <v>203</v>
      </c>
      <c r="C288" s="2" t="s">
        <v>704</v>
      </c>
      <c r="D288" s="2" t="s">
        <v>527</v>
      </c>
      <c r="E288" s="2" t="s">
        <v>137</v>
      </c>
      <c r="F288" s="2" t="s">
        <v>20</v>
      </c>
      <c r="G288" s="7" t="n">
        <v>2</v>
      </c>
      <c r="H288" s="6" t="n">
        <v>97.25</v>
      </c>
      <c r="I288" s="6" t="n">
        <v>-1945</v>
      </c>
      <c r="J288" s="6" t="n">
        <v>-67.56</v>
      </c>
      <c r="K288" s="6" t="n">
        <v>-1.14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45341.571539352</v>
      </c>
      <c r="B289" s="2" t="s">
        <v>206</v>
      </c>
      <c r="C289" s="2" t="s">
        <v>708</v>
      </c>
      <c r="D289" s="2" t="s">
        <v>527</v>
      </c>
      <c r="E289" s="2" t="s">
        <v>137</v>
      </c>
      <c r="F289" s="2" t="s">
        <v>20</v>
      </c>
      <c r="G289" s="7" t="n">
        <v>2</v>
      </c>
      <c r="H289" s="6" t="n">
        <v>86.45</v>
      </c>
      <c r="I289" s="6" t="n">
        <v>-1729</v>
      </c>
      <c r="J289" s="6" t="n">
        <v>-84.64</v>
      </c>
      <c r="K289" s="6" t="n">
        <v>-1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5" t="n">
        <v>45341.639375</v>
      </c>
      <c r="B290" s="26" t="s">
        <v>133</v>
      </c>
      <c r="C290" s="26" t="s">
        <v>656</v>
      </c>
      <c r="D290" s="26" t="s">
        <v>528</v>
      </c>
      <c r="E290" s="26" t="s">
        <v>124</v>
      </c>
      <c r="F290" s="26" t="s">
        <v>20</v>
      </c>
      <c r="G290" s="27" t="n">
        <v>-9500</v>
      </c>
      <c r="H290" s="28" t="n">
        <v>1.3484</v>
      </c>
      <c r="I290" s="28" t="n">
        <v>12809.8</v>
      </c>
      <c r="J290" s="28" t="n">
        <v>0</v>
      </c>
      <c r="K290" s="28" t="n">
        <v>0</v>
      </c>
      <c r="L290" s="28" t="n">
        <v>0</v>
      </c>
      <c r="M290" s="6" t="s">
        <f>=I290+J290+K290+L290</f>
      </c>
      <c r="N290" s="28"/>
      <c r="O290" s="26"/>
    </row>
    <row collapsed="false" customFormat="false" customHeight="false" hidden="false" ht="12.1" outlineLevel="0" r="291">
      <c r="A291" s="20" t="n">
        <v>45341.641342593</v>
      </c>
      <c r="B291" s="2" t="s">
        <v>133</v>
      </c>
      <c r="C291" s="2" t="s">
        <v>656</v>
      </c>
      <c r="D291" s="2" t="s">
        <v>527</v>
      </c>
      <c r="E291" s="2" t="s">
        <v>124</v>
      </c>
      <c r="F291" s="2" t="s">
        <v>20</v>
      </c>
      <c r="G291" s="7" t="n">
        <v>66</v>
      </c>
      <c r="H291" s="6" t="n">
        <v>1.3484</v>
      </c>
      <c r="I291" s="6" t="n">
        <v>-88.99</v>
      </c>
      <c r="J291" s="6" t="n">
        <v>0</v>
      </c>
      <c r="K291" s="6" t="n">
        <v>0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45348.631886574</v>
      </c>
      <c r="B292" s="2" t="s">
        <v>242</v>
      </c>
      <c r="C292" s="2" t="s">
        <v>715</v>
      </c>
      <c r="D292" s="2" t="s">
        <v>527</v>
      </c>
      <c r="E292" s="2" t="s">
        <v>137</v>
      </c>
      <c r="F292" s="2" t="s">
        <v>20</v>
      </c>
      <c r="G292" s="7" t="n">
        <v>1</v>
      </c>
      <c r="H292" s="6" t="n">
        <v>101.99</v>
      </c>
      <c r="I292" s="6" t="n">
        <v>-700.33</v>
      </c>
      <c r="J292" s="6" t="n">
        <v>-23.59</v>
      </c>
      <c r="K292" s="6" t="n">
        <v>-0.41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5" t="n">
        <v>45348.70849537</v>
      </c>
      <c r="B293" s="26" t="s">
        <v>133</v>
      </c>
      <c r="C293" s="26" t="s">
        <v>656</v>
      </c>
      <c r="D293" s="26" t="s">
        <v>528</v>
      </c>
      <c r="E293" s="26" t="s">
        <v>124</v>
      </c>
      <c r="F293" s="26" t="s">
        <v>20</v>
      </c>
      <c r="G293" s="27" t="n">
        <v>-5496</v>
      </c>
      <c r="H293" s="28" t="n">
        <v>1.3524</v>
      </c>
      <c r="I293" s="28" t="n">
        <v>7432.79</v>
      </c>
      <c r="J293" s="28" t="n">
        <v>0</v>
      </c>
      <c r="K293" s="28" t="n">
        <v>0</v>
      </c>
      <c r="L293" s="28" t="n">
        <v>0</v>
      </c>
      <c r="M293" s="6" t="s">
        <f>=I293+J293+K293+L293</f>
      </c>
      <c r="N293" s="28"/>
      <c r="O293" s="26"/>
    </row>
    <row collapsed="false" customFormat="false" customHeight="false" hidden="false" ht="12.1" outlineLevel="0" r="294">
      <c r="A294" s="20" t="n">
        <v>45348.721157407</v>
      </c>
      <c r="B294" s="2" t="s">
        <v>43</v>
      </c>
      <c r="C294" s="2" t="s">
        <v>716</v>
      </c>
      <c r="D294" s="2" t="s">
        <v>527</v>
      </c>
      <c r="E294" s="2" t="s">
        <v>18</v>
      </c>
      <c r="F294" s="2" t="s">
        <v>20</v>
      </c>
      <c r="G294" s="7" t="n">
        <v>5</v>
      </c>
      <c r="H294" s="6" t="n">
        <v>1340</v>
      </c>
      <c r="I294" s="6" t="n">
        <v>-6700</v>
      </c>
      <c r="J294" s="6" t="n">
        <v>0</v>
      </c>
      <c r="K294" s="6" t="n">
        <v>-5.36</v>
      </c>
      <c r="L294" s="6" t="n">
        <v>0</v>
      </c>
      <c r="M294" s="6" t="s">
        <f>=I294+J294+K294+L294</f>
      </c>
      <c r="N294" s="6"/>
      <c r="O294" s="2"/>
    </row>
    <row collapsed="false" customFormat="false" customHeight="false" hidden="false" ht="12.1" outlineLevel="0" r="295">
      <c r="A295" s="21" t="n">
        <v>45351</v>
      </c>
      <c r="B295" s="22" t="s">
        <v>717</v>
      </c>
      <c r="C295" s="22" t="s">
        <v>718</v>
      </c>
      <c r="D295" s="22" t="s">
        <v>719</v>
      </c>
      <c r="E295" s="22" t="s">
        <v>719</v>
      </c>
      <c r="F295" s="22" t="s">
        <v>20</v>
      </c>
      <c r="G295" s="23" t="n">
        <v>1</v>
      </c>
      <c r="H295" s="24" t="n">
        <v>0.01</v>
      </c>
      <c r="I295" s="24" t="n">
        <v>0.01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45365</v>
      </c>
      <c r="B296" s="22" t="s">
        <v>645</v>
      </c>
      <c r="C296" s="22" t="s">
        <v>257</v>
      </c>
      <c r="D296" s="22" t="s">
        <v>645</v>
      </c>
      <c r="E296" s="22" t="s">
        <v>645</v>
      </c>
      <c r="F296" s="22" t="s">
        <v>20</v>
      </c>
      <c r="G296" s="23" t="n">
        <v>1</v>
      </c>
      <c r="H296" s="24" t="n">
        <v>10</v>
      </c>
      <c r="I296" s="24" t="n">
        <v>10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45365</v>
      </c>
      <c r="B297" s="22" t="s">
        <v>720</v>
      </c>
      <c r="C297" s="22" t="s">
        <v>721</v>
      </c>
      <c r="D297" s="22" t="s">
        <v>720</v>
      </c>
      <c r="E297" s="22" t="s">
        <v>720</v>
      </c>
      <c r="F297" s="22" t="s">
        <v>20</v>
      </c>
      <c r="G297" s="23" t="n">
        <v>1</v>
      </c>
      <c r="H297" s="24" t="n">
        <v>15.09</v>
      </c>
      <c r="I297" s="24" t="n">
        <v>15.09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0" t="n">
        <v>45365.718854167</v>
      </c>
      <c r="B298" s="2" t="s">
        <v>170</v>
      </c>
      <c r="C298" s="2" t="s">
        <v>722</v>
      </c>
      <c r="D298" s="2" t="s">
        <v>527</v>
      </c>
      <c r="E298" s="2" t="s">
        <v>137</v>
      </c>
      <c r="F298" s="2" t="s">
        <v>20</v>
      </c>
      <c r="G298" s="7" t="n">
        <v>10</v>
      </c>
      <c r="H298" s="6" t="n">
        <v>95.45</v>
      </c>
      <c r="I298" s="6" t="n">
        <v>-9545</v>
      </c>
      <c r="J298" s="6" t="n">
        <v>-81.3</v>
      </c>
      <c r="K298" s="6" t="n">
        <v>-5.58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5" t="n">
        <v>45365.805613426</v>
      </c>
      <c r="B299" s="26" t="s">
        <v>133</v>
      </c>
      <c r="C299" s="26" t="s">
        <v>656</v>
      </c>
      <c r="D299" s="26" t="s">
        <v>528</v>
      </c>
      <c r="E299" s="26" t="s">
        <v>124</v>
      </c>
      <c r="F299" s="26" t="s">
        <v>20</v>
      </c>
      <c r="G299" s="27" t="n">
        <v>-7054</v>
      </c>
      <c r="H299" s="28" t="n">
        <v>1.3621</v>
      </c>
      <c r="I299" s="28" t="n">
        <v>9608.25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45366.520983796</v>
      </c>
      <c r="B300" s="2" t="s">
        <v>194</v>
      </c>
      <c r="C300" s="2" t="s">
        <v>705</v>
      </c>
      <c r="D300" s="2" t="s">
        <v>527</v>
      </c>
      <c r="E300" s="2" t="s">
        <v>137</v>
      </c>
      <c r="F300" s="2" t="s">
        <v>20</v>
      </c>
      <c r="G300" s="7" t="n">
        <v>5</v>
      </c>
      <c r="H300" s="6" t="n">
        <v>101.18</v>
      </c>
      <c r="I300" s="6" t="n">
        <v>-5059</v>
      </c>
      <c r="J300" s="6" t="n">
        <v>-6.6</v>
      </c>
      <c r="K300" s="6" t="n">
        <v>-2.96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5" t="n">
        <v>45366.676412037</v>
      </c>
      <c r="B301" s="26" t="s">
        <v>133</v>
      </c>
      <c r="C301" s="26" t="s">
        <v>656</v>
      </c>
      <c r="D301" s="26" t="s">
        <v>528</v>
      </c>
      <c r="E301" s="26" t="s">
        <v>124</v>
      </c>
      <c r="F301" s="26" t="s">
        <v>20</v>
      </c>
      <c r="G301" s="27" t="n">
        <v>-3710</v>
      </c>
      <c r="H301" s="28" t="n">
        <v>1.364</v>
      </c>
      <c r="I301" s="28" t="n">
        <v>5060.44</v>
      </c>
      <c r="J301" s="28" t="n">
        <v>0</v>
      </c>
      <c r="K301" s="28" t="n">
        <v>0</v>
      </c>
      <c r="L301" s="28" t="n">
        <v>0</v>
      </c>
      <c r="M301" s="6" t="s">
        <f>=I301+J301+K301+L301</f>
      </c>
      <c r="N301" s="28"/>
      <c r="O301" s="26"/>
    </row>
    <row collapsed="false" customFormat="false" customHeight="false" hidden="false" ht="12.1" outlineLevel="0" r="302">
      <c r="A302" s="25" t="n">
        <v>45369.449224537</v>
      </c>
      <c r="B302" s="26" t="s">
        <v>133</v>
      </c>
      <c r="C302" s="26" t="s">
        <v>656</v>
      </c>
      <c r="D302" s="26" t="s">
        <v>528</v>
      </c>
      <c r="E302" s="26" t="s">
        <v>124</v>
      </c>
      <c r="F302" s="26" t="s">
        <v>20</v>
      </c>
      <c r="G302" s="27" t="n">
        <v>-16381</v>
      </c>
      <c r="H302" s="28" t="n">
        <v>1.3644</v>
      </c>
      <c r="I302" s="28" t="n">
        <v>22350.23</v>
      </c>
      <c r="J302" s="28" t="n">
        <v>0</v>
      </c>
      <c r="K302" s="28" t="n">
        <v>0</v>
      </c>
      <c r="L302" s="28" t="n">
        <v>0</v>
      </c>
      <c r="M302" s="6" t="s">
        <f>=I302+J302+K302+L302</f>
      </c>
      <c r="N302" s="28"/>
      <c r="O302" s="26"/>
    </row>
    <row collapsed="false" customFormat="false" customHeight="false" hidden="false" ht="12.1" outlineLevel="0" r="303">
      <c r="A303" s="20" t="n">
        <v>45369.571423611</v>
      </c>
      <c r="B303" s="2" t="s">
        <v>146</v>
      </c>
      <c r="C303" s="2" t="s">
        <v>723</v>
      </c>
      <c r="D303" s="2" t="s">
        <v>527</v>
      </c>
      <c r="E303" s="2" t="s">
        <v>137</v>
      </c>
      <c r="F303" s="2" t="s">
        <v>20</v>
      </c>
      <c r="G303" s="7" t="n">
        <v>10</v>
      </c>
      <c r="H303" s="6" t="n">
        <v>90.8</v>
      </c>
      <c r="I303" s="6" t="n">
        <v>-9080</v>
      </c>
      <c r="J303" s="6" t="n">
        <v>-450</v>
      </c>
      <c r="K303" s="6" t="n">
        <v>-5.31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45369.573252315</v>
      </c>
      <c r="B304" s="2" t="s">
        <v>140</v>
      </c>
      <c r="C304" s="2" t="s">
        <v>724</v>
      </c>
      <c r="D304" s="2" t="s">
        <v>527</v>
      </c>
      <c r="E304" s="2" t="s">
        <v>137</v>
      </c>
      <c r="F304" s="2" t="s">
        <v>20</v>
      </c>
      <c r="G304" s="7" t="n">
        <v>10</v>
      </c>
      <c r="H304" s="6" t="n">
        <v>64.47</v>
      </c>
      <c r="I304" s="6" t="n">
        <v>-6447</v>
      </c>
      <c r="J304" s="6" t="n">
        <v>-65.2</v>
      </c>
      <c r="K304" s="6" t="n">
        <v>-3.77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45369.576759259</v>
      </c>
      <c r="B305" s="2" t="s">
        <v>136</v>
      </c>
      <c r="C305" s="2" t="s">
        <v>725</v>
      </c>
      <c r="D305" s="2" t="s">
        <v>527</v>
      </c>
      <c r="E305" s="2" t="s">
        <v>137</v>
      </c>
      <c r="F305" s="2" t="s">
        <v>20</v>
      </c>
      <c r="G305" s="7" t="n">
        <v>10</v>
      </c>
      <c r="H305" s="6" t="n">
        <v>60.798</v>
      </c>
      <c r="I305" s="6" t="n">
        <v>-6079.8</v>
      </c>
      <c r="J305" s="6" t="n">
        <v>-202.3</v>
      </c>
      <c r="K305" s="6" t="n">
        <v>-3.56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0" t="n">
        <v>45379.728530093</v>
      </c>
      <c r="B306" s="2" t="s">
        <v>149</v>
      </c>
      <c r="C306" s="2" t="s">
        <v>726</v>
      </c>
      <c r="D306" s="2" t="s">
        <v>527</v>
      </c>
      <c r="E306" s="2" t="s">
        <v>137</v>
      </c>
      <c r="F306" s="2" t="s">
        <v>20</v>
      </c>
      <c r="G306" s="7" t="n">
        <v>10</v>
      </c>
      <c r="H306" s="6" t="n">
        <v>73.499</v>
      </c>
      <c r="I306" s="6" t="n">
        <v>-7349.9</v>
      </c>
      <c r="J306" s="6" t="n">
        <v>-373.4</v>
      </c>
      <c r="K306" s="6" t="n">
        <v>-4.3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5" t="n">
        <v>45379.729502315</v>
      </c>
      <c r="B307" s="26" t="s">
        <v>133</v>
      </c>
      <c r="C307" s="26" t="s">
        <v>656</v>
      </c>
      <c r="D307" s="26" t="s">
        <v>528</v>
      </c>
      <c r="E307" s="26" t="s">
        <v>124</v>
      </c>
      <c r="F307" s="26" t="s">
        <v>20</v>
      </c>
      <c r="G307" s="27" t="n">
        <v>-5660</v>
      </c>
      <c r="H307" s="28" t="n">
        <v>1.37</v>
      </c>
      <c r="I307" s="28" t="n">
        <v>7754.2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9" t="n">
        <v>45380</v>
      </c>
      <c r="B308" s="30" t="s">
        <v>727</v>
      </c>
      <c r="C308" s="30" t="s">
        <v>728</v>
      </c>
      <c r="D308" s="30" t="s">
        <v>727</v>
      </c>
      <c r="E308" s="30" t="s">
        <v>727</v>
      </c>
      <c r="F308" s="30" t="s">
        <v>20</v>
      </c>
      <c r="G308" s="31" t="n">
        <v>1</v>
      </c>
      <c r="H308" s="32" t="n">
        <v>-6.41</v>
      </c>
      <c r="I308" s="32" t="n">
        <v>-6.41</v>
      </c>
      <c r="J308" s="32" t="n">
        <v>0</v>
      </c>
      <c r="K308" s="32" t="n">
        <v>0</v>
      </c>
      <c r="L308" s="32" t="n">
        <v>0</v>
      </c>
      <c r="M308" s="6" t="s">
        <f>=I308+J308+K308+L308</f>
      </c>
      <c r="N308" s="32"/>
      <c r="O308" s="30"/>
    </row>
    <row collapsed="false" customFormat="false" customHeight="false" hidden="false" ht="12.1" outlineLevel="0" r="309">
      <c r="A309" s="20" t="n">
        <v>45380.484722222</v>
      </c>
      <c r="B309" s="2" t="s">
        <v>92</v>
      </c>
      <c r="C309" s="2" t="s">
        <v>729</v>
      </c>
      <c r="D309" s="2" t="s">
        <v>527</v>
      </c>
      <c r="E309" s="2" t="s">
        <v>18</v>
      </c>
      <c r="F309" s="2" t="s">
        <v>20</v>
      </c>
      <c r="G309" s="7" t="n">
        <v>5</v>
      </c>
      <c r="H309" s="6" t="n">
        <v>875</v>
      </c>
      <c r="I309" s="6" t="n">
        <v>-4375</v>
      </c>
      <c r="J309" s="6" t="n">
        <v>0</v>
      </c>
      <c r="K309" s="6" t="n">
        <v>-2.19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5" t="n">
        <v>45380.661944444</v>
      </c>
      <c r="B310" s="26" t="s">
        <v>92</v>
      </c>
      <c r="C310" s="26" t="s">
        <v>729</v>
      </c>
      <c r="D310" s="26" t="s">
        <v>528</v>
      </c>
      <c r="E310" s="26" t="s">
        <v>18</v>
      </c>
      <c r="F310" s="26" t="s">
        <v>20</v>
      </c>
      <c r="G310" s="27" t="n">
        <v>-5</v>
      </c>
      <c r="H310" s="28" t="n">
        <v>993.7</v>
      </c>
      <c r="I310" s="28" t="n">
        <v>4968.5</v>
      </c>
      <c r="J310" s="28" t="n">
        <v>0</v>
      </c>
      <c r="K310" s="28" t="n">
        <v>-2.48</v>
      </c>
      <c r="L310" s="28" t="n">
        <v>0</v>
      </c>
      <c r="M310" s="6" t="s">
        <f>=I310+J310+K310+L310</f>
      </c>
      <c r="N310" s="28"/>
      <c r="O310" s="26"/>
    </row>
    <row collapsed="false" customFormat="false" customHeight="false" hidden="false" ht="12.1" outlineLevel="0" r="311">
      <c r="A311" s="29" t="n">
        <v>45383</v>
      </c>
      <c r="B311" s="30" t="s">
        <v>727</v>
      </c>
      <c r="C311" s="30" t="s">
        <v>730</v>
      </c>
      <c r="D311" s="30" t="s">
        <v>727</v>
      </c>
      <c r="E311" s="30" t="s">
        <v>727</v>
      </c>
      <c r="F311" s="30" t="s">
        <v>20</v>
      </c>
      <c r="G311" s="31" t="n">
        <v>1</v>
      </c>
      <c r="H311" s="32" t="n">
        <v>-1.75</v>
      </c>
      <c r="I311" s="32" t="n">
        <v>-1.75</v>
      </c>
      <c r="J311" s="32" t="n">
        <v>0</v>
      </c>
      <c r="K311" s="32" t="n">
        <v>0</v>
      </c>
      <c r="L311" s="32" t="n">
        <v>0</v>
      </c>
      <c r="M311" s="6" t="s">
        <f>=I311+J311+K311+L311</f>
      </c>
      <c r="N311" s="32"/>
      <c r="O311" s="30"/>
    </row>
    <row collapsed="false" customFormat="false" customHeight="false" hidden="false" ht="12.1" outlineLevel="0" r="312">
      <c r="A312" s="20" t="n">
        <v>45383.460023148</v>
      </c>
      <c r="B312" s="2" t="s">
        <v>133</v>
      </c>
      <c r="C312" s="2" t="s">
        <v>656</v>
      </c>
      <c r="D312" s="2" t="s">
        <v>527</v>
      </c>
      <c r="E312" s="2" t="s">
        <v>124</v>
      </c>
      <c r="F312" s="2" t="s">
        <v>20</v>
      </c>
      <c r="G312" s="7" t="n">
        <v>450</v>
      </c>
      <c r="H312" s="6" t="n">
        <v>1.3725</v>
      </c>
      <c r="I312" s="6" t="n">
        <v>-617.63</v>
      </c>
      <c r="J312" s="6" t="n">
        <v>0</v>
      </c>
      <c r="K312" s="6" t="n">
        <v>0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1" t="n">
        <v>45391</v>
      </c>
      <c r="B313" s="22" t="s">
        <v>645</v>
      </c>
      <c r="C313" s="22" t="s">
        <v>257</v>
      </c>
      <c r="D313" s="22" t="s">
        <v>645</v>
      </c>
      <c r="E313" s="22" t="s">
        <v>645</v>
      </c>
      <c r="F313" s="22" t="s">
        <v>20</v>
      </c>
      <c r="G313" s="23" t="n">
        <v>1</v>
      </c>
      <c r="H313" s="24" t="n">
        <v>129</v>
      </c>
      <c r="I313" s="24" t="n">
        <v>129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0" t="n">
        <v>45391.622928241</v>
      </c>
      <c r="B314" s="2" t="s">
        <v>182</v>
      </c>
      <c r="C314" s="2" t="s">
        <v>731</v>
      </c>
      <c r="D314" s="2" t="s">
        <v>527</v>
      </c>
      <c r="E314" s="2" t="s">
        <v>137</v>
      </c>
      <c r="F314" s="2" t="s">
        <v>20</v>
      </c>
      <c r="G314" s="7" t="n">
        <v>7</v>
      </c>
      <c r="H314" s="6" t="n">
        <v>73.48</v>
      </c>
      <c r="I314" s="6" t="n">
        <v>-5143.6</v>
      </c>
      <c r="J314" s="6" t="n">
        <v>-98.35</v>
      </c>
      <c r="K314" s="6" t="n">
        <v>-3.09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0" t="n">
        <v>45391.625104167</v>
      </c>
      <c r="B315" s="2" t="s">
        <v>173</v>
      </c>
      <c r="C315" s="2" t="s">
        <v>732</v>
      </c>
      <c r="D315" s="2" t="s">
        <v>527</v>
      </c>
      <c r="E315" s="2" t="s">
        <v>137</v>
      </c>
      <c r="F315" s="2" t="s">
        <v>20</v>
      </c>
      <c r="G315" s="7" t="n">
        <v>7</v>
      </c>
      <c r="H315" s="6" t="n">
        <v>76.29</v>
      </c>
      <c r="I315" s="6" t="n">
        <v>-5340.3</v>
      </c>
      <c r="J315" s="6" t="n">
        <v>-35.63</v>
      </c>
      <c r="K315" s="6" t="n">
        <v>-3.21</v>
      </c>
      <c r="L315" s="6" t="n">
        <v>0</v>
      </c>
      <c r="M315" s="6" t="s">
        <f>=I315+J315+K315+L315</f>
      </c>
      <c r="N315" s="6"/>
      <c r="O315" s="2"/>
    </row>
    <row collapsed="false" customFormat="false" customHeight="false" hidden="false" ht="12.1" outlineLevel="0" r="316">
      <c r="A316" s="20" t="n">
        <v>45391.626979167</v>
      </c>
      <c r="B316" s="2" t="s">
        <v>146</v>
      </c>
      <c r="C316" s="2" t="s">
        <v>723</v>
      </c>
      <c r="D316" s="2" t="s">
        <v>527</v>
      </c>
      <c r="E316" s="2" t="s">
        <v>137</v>
      </c>
      <c r="F316" s="2" t="s">
        <v>20</v>
      </c>
      <c r="G316" s="7" t="n">
        <v>10</v>
      </c>
      <c r="H316" s="6" t="n">
        <v>89.15</v>
      </c>
      <c r="I316" s="6" t="n">
        <v>-8915</v>
      </c>
      <c r="J316" s="6" t="n">
        <v>-43.2</v>
      </c>
      <c r="K316" s="6" t="n">
        <v>-5.35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5" t="n">
        <v>45391.628923611</v>
      </c>
      <c r="B317" s="26" t="s">
        <v>133</v>
      </c>
      <c r="C317" s="26" t="s">
        <v>656</v>
      </c>
      <c r="D317" s="26" t="s">
        <v>528</v>
      </c>
      <c r="E317" s="26" t="s">
        <v>124</v>
      </c>
      <c r="F317" s="26" t="s">
        <v>20</v>
      </c>
      <c r="G317" s="27" t="n">
        <v>-14230</v>
      </c>
      <c r="H317" s="28" t="n">
        <v>1.377</v>
      </c>
      <c r="I317" s="28" t="n">
        <v>19594.71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8"/>
      <c r="O317" s="26"/>
    </row>
    <row collapsed="false" customFormat="false" customHeight="false" hidden="false" ht="12.1" outlineLevel="0" r="318">
      <c r="A318" s="29" t="n">
        <v>45394</v>
      </c>
      <c r="B318" s="30" t="s">
        <v>727</v>
      </c>
      <c r="C318" s="30" t="s">
        <v>728</v>
      </c>
      <c r="D318" s="30" t="s">
        <v>727</v>
      </c>
      <c r="E318" s="30" t="s">
        <v>727</v>
      </c>
      <c r="F318" s="30" t="s">
        <v>20</v>
      </c>
      <c r="G318" s="31" t="n">
        <v>1</v>
      </c>
      <c r="H318" s="32" t="n">
        <v>-3.28</v>
      </c>
      <c r="I318" s="32" t="n">
        <v>-3.28</v>
      </c>
      <c r="J318" s="32" t="n">
        <v>0</v>
      </c>
      <c r="K318" s="32" t="n">
        <v>0</v>
      </c>
      <c r="L318" s="32" t="n">
        <v>0</v>
      </c>
      <c r="M318" s="6" t="s">
        <f>=I318+J318+K318+L318</f>
      </c>
      <c r="N318" s="32"/>
      <c r="O318" s="30"/>
    </row>
    <row collapsed="false" customFormat="false" customHeight="false" hidden="false" ht="12.1" outlineLevel="0" r="319">
      <c r="A319" s="20" t="n">
        <v>45394.491111111</v>
      </c>
      <c r="B319" s="2" t="s">
        <v>546</v>
      </c>
      <c r="C319" s="2" t="s">
        <v>733</v>
      </c>
      <c r="D319" s="2" t="s">
        <v>527</v>
      </c>
      <c r="E319" s="2" t="s">
        <v>18</v>
      </c>
      <c r="F319" s="2" t="s">
        <v>20</v>
      </c>
      <c r="G319" s="7" t="n">
        <v>10</v>
      </c>
      <c r="H319" s="6" t="n">
        <v>235</v>
      </c>
      <c r="I319" s="6" t="n">
        <v>-2350</v>
      </c>
      <c r="J319" s="6" t="n">
        <v>0</v>
      </c>
      <c r="K319" s="6" t="n">
        <v>-1.18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5" t="n">
        <v>45394.666319444</v>
      </c>
      <c r="B320" s="26" t="s">
        <v>546</v>
      </c>
      <c r="C320" s="26" t="s">
        <v>733</v>
      </c>
      <c r="D320" s="26" t="s">
        <v>528</v>
      </c>
      <c r="E320" s="26" t="s">
        <v>18</v>
      </c>
      <c r="F320" s="26" t="s">
        <v>20</v>
      </c>
      <c r="G320" s="27" t="n">
        <v>-10</v>
      </c>
      <c r="H320" s="28" t="n">
        <v>238.65</v>
      </c>
      <c r="I320" s="28" t="n">
        <v>2386.5</v>
      </c>
      <c r="J320" s="28" t="n">
        <v>0</v>
      </c>
      <c r="K320" s="28" t="n">
        <v>-1.9</v>
      </c>
      <c r="L320" s="28" t="n">
        <v>0</v>
      </c>
      <c r="M320" s="6" t="s">
        <f>=I320+J320+K320+L320</f>
      </c>
      <c r="N320" s="28"/>
      <c r="O320" s="26"/>
    </row>
    <row collapsed="false" customFormat="false" customHeight="false" hidden="false" ht="12.1" outlineLevel="0" r="321">
      <c r="A321" s="29" t="n">
        <v>45397</v>
      </c>
      <c r="B321" s="30" t="s">
        <v>727</v>
      </c>
      <c r="C321" s="30" t="s">
        <v>730</v>
      </c>
      <c r="D321" s="30" t="s">
        <v>727</v>
      </c>
      <c r="E321" s="30" t="s">
        <v>727</v>
      </c>
      <c r="F321" s="30" t="s">
        <v>20</v>
      </c>
      <c r="G321" s="31" t="n">
        <v>1</v>
      </c>
      <c r="H321" s="32" t="n">
        <v>-0.89</v>
      </c>
      <c r="I321" s="32" t="n">
        <v>-0.89</v>
      </c>
      <c r="J321" s="32" t="n">
        <v>0</v>
      </c>
      <c r="K321" s="32" t="n">
        <v>0</v>
      </c>
      <c r="L321" s="32" t="n">
        <v>0</v>
      </c>
      <c r="M321" s="6" t="s">
        <f>=I321+J321+K321+L321</f>
      </c>
      <c r="N321" s="32"/>
      <c r="O321" s="30"/>
    </row>
    <row collapsed="false" customFormat="false" customHeight="false" hidden="false" ht="12.1" outlineLevel="0" r="322">
      <c r="A322" s="20" t="n">
        <v>45397.668506944</v>
      </c>
      <c r="B322" s="2" t="s">
        <v>133</v>
      </c>
      <c r="C322" s="2" t="s">
        <v>656</v>
      </c>
      <c r="D322" s="2" t="s">
        <v>527</v>
      </c>
      <c r="E322" s="2" t="s">
        <v>124</v>
      </c>
      <c r="F322" s="2" t="s">
        <v>20</v>
      </c>
      <c r="G322" s="7" t="n">
        <v>120</v>
      </c>
      <c r="H322" s="6" t="n">
        <v>1.3799</v>
      </c>
      <c r="I322" s="6" t="n">
        <v>-165.59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1" t="n">
        <v>45400</v>
      </c>
      <c r="B323" s="22" t="s">
        <v>645</v>
      </c>
      <c r="C323" s="22" t="s">
        <v>257</v>
      </c>
      <c r="D323" s="22" t="s">
        <v>645</v>
      </c>
      <c r="E323" s="22" t="s">
        <v>645</v>
      </c>
      <c r="F323" s="22" t="s">
        <v>20</v>
      </c>
      <c r="G323" s="23" t="n">
        <v>1</v>
      </c>
      <c r="H323" s="24" t="n">
        <v>309.43</v>
      </c>
      <c r="I323" s="24" t="n">
        <v>309.43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9" t="n">
        <v>45401</v>
      </c>
      <c r="B324" s="30" t="s">
        <v>727</v>
      </c>
      <c r="C324" s="30" t="s">
        <v>728</v>
      </c>
      <c r="D324" s="30" t="s">
        <v>727</v>
      </c>
      <c r="E324" s="30" t="s">
        <v>727</v>
      </c>
      <c r="F324" s="30" t="s">
        <v>20</v>
      </c>
      <c r="G324" s="31" t="n">
        <v>1</v>
      </c>
      <c r="H324" s="32" t="n">
        <v>-2</v>
      </c>
      <c r="I324" s="32" t="n">
        <v>-2</v>
      </c>
      <c r="J324" s="32" t="n">
        <v>0</v>
      </c>
      <c r="K324" s="32" t="n">
        <v>0</v>
      </c>
      <c r="L324" s="32" t="n">
        <v>0</v>
      </c>
      <c r="M324" s="6" t="s">
        <f>=I324+J324+K324+L324</f>
      </c>
      <c r="N324" s="32"/>
      <c r="O324" s="30"/>
    </row>
    <row collapsed="false" customFormat="false" customHeight="false" hidden="false" ht="12.1" outlineLevel="0" r="325">
      <c r="A325" s="20" t="n">
        <v>45401.505115741</v>
      </c>
      <c r="B325" s="2" t="s">
        <v>90</v>
      </c>
      <c r="C325" s="2" t="s">
        <v>734</v>
      </c>
      <c r="D325" s="2" t="s">
        <v>527</v>
      </c>
      <c r="E325" s="2" t="s">
        <v>18</v>
      </c>
      <c r="F325" s="2" t="s">
        <v>20</v>
      </c>
      <c r="G325" s="7" t="n">
        <v>3</v>
      </c>
      <c r="H325" s="6" t="n">
        <v>555</v>
      </c>
      <c r="I325" s="6" t="n">
        <v>-1665</v>
      </c>
      <c r="J325" s="6" t="n">
        <v>0</v>
      </c>
      <c r="K325" s="6" t="n">
        <v>-0.83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5" t="n">
        <v>45401.583402778</v>
      </c>
      <c r="B326" s="26" t="s">
        <v>133</v>
      </c>
      <c r="C326" s="26" t="s">
        <v>656</v>
      </c>
      <c r="D326" s="26" t="s">
        <v>528</v>
      </c>
      <c r="E326" s="26" t="s">
        <v>124</v>
      </c>
      <c r="F326" s="26" t="s">
        <v>20</v>
      </c>
      <c r="G326" s="27" t="n">
        <v>-1150</v>
      </c>
      <c r="H326" s="28" t="n">
        <v>1.3831</v>
      </c>
      <c r="I326" s="28" t="n">
        <v>1590.57</v>
      </c>
      <c r="J326" s="28" t="n">
        <v>0</v>
      </c>
      <c r="K326" s="28" t="n">
        <v>0</v>
      </c>
      <c r="L326" s="28" t="n">
        <v>0</v>
      </c>
      <c r="M326" s="6" t="s">
        <f>=I326+J326+K326+L326</f>
      </c>
      <c r="N326" s="28"/>
      <c r="O326" s="26"/>
    </row>
    <row collapsed="false" customFormat="false" customHeight="false" hidden="false" ht="12.1" outlineLevel="0" r="327">
      <c r="A327" s="29" t="n">
        <v>45404</v>
      </c>
      <c r="B327" s="30" t="s">
        <v>727</v>
      </c>
      <c r="C327" s="30" t="s">
        <v>730</v>
      </c>
      <c r="D327" s="30" t="s">
        <v>727</v>
      </c>
      <c r="E327" s="30" t="s">
        <v>727</v>
      </c>
      <c r="F327" s="30" t="s">
        <v>20</v>
      </c>
      <c r="G327" s="31" t="n">
        <v>1</v>
      </c>
      <c r="H327" s="32" t="n">
        <v>-0.55</v>
      </c>
      <c r="I327" s="32" t="n">
        <v>-0.55</v>
      </c>
      <c r="J327" s="32" t="n">
        <v>0</v>
      </c>
      <c r="K327" s="32" t="n">
        <v>0</v>
      </c>
      <c r="L327" s="32" t="n">
        <v>0</v>
      </c>
      <c r="M327" s="6" t="s">
        <f>=I327+J327+K327+L327</f>
      </c>
      <c r="N327" s="32"/>
      <c r="O327" s="30"/>
    </row>
    <row collapsed="false" customFormat="false" customHeight="false" hidden="false" ht="12.1" outlineLevel="0" r="328">
      <c r="A328" s="20" t="n">
        <v>45404.585092593</v>
      </c>
      <c r="B328" s="2" t="s">
        <v>133</v>
      </c>
      <c r="C328" s="2" t="s">
        <v>656</v>
      </c>
      <c r="D328" s="2" t="s">
        <v>527</v>
      </c>
      <c r="E328" s="2" t="s">
        <v>124</v>
      </c>
      <c r="F328" s="2" t="s">
        <v>20</v>
      </c>
      <c r="G328" s="7" t="n">
        <v>165</v>
      </c>
      <c r="H328" s="6" t="n">
        <v>1.384</v>
      </c>
      <c r="I328" s="6" t="n">
        <v>-228.36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45407</v>
      </c>
      <c r="B329" s="22" t="s">
        <v>645</v>
      </c>
      <c r="C329" s="22" t="s">
        <v>257</v>
      </c>
      <c r="D329" s="22" t="s">
        <v>645</v>
      </c>
      <c r="E329" s="22" t="s">
        <v>645</v>
      </c>
      <c r="F329" s="22" t="s">
        <v>20</v>
      </c>
      <c r="G329" s="23" t="n">
        <v>2</v>
      </c>
      <c r="H329" s="24" t="n">
        <v>97.285</v>
      </c>
      <c r="I329" s="24" t="n">
        <v>194.57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45408</v>
      </c>
      <c r="B330" s="30" t="s">
        <v>727</v>
      </c>
      <c r="C330" s="30" t="s">
        <v>728</v>
      </c>
      <c r="D330" s="30" t="s">
        <v>727</v>
      </c>
      <c r="E330" s="30" t="s">
        <v>727</v>
      </c>
      <c r="F330" s="30" t="s">
        <v>20</v>
      </c>
      <c r="G330" s="31" t="n">
        <v>1</v>
      </c>
      <c r="H330" s="32" t="n">
        <v>-1.1</v>
      </c>
      <c r="I330" s="32" t="n">
        <v>-1.1</v>
      </c>
      <c r="J330" s="32" t="n">
        <v>0</v>
      </c>
      <c r="K330" s="32" t="n">
        <v>0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1" t="n">
        <v>45408</v>
      </c>
      <c r="B331" s="22" t="s">
        <v>645</v>
      </c>
      <c r="C331" s="22" t="s">
        <v>257</v>
      </c>
      <c r="D331" s="22" t="s">
        <v>645</v>
      </c>
      <c r="E331" s="22" t="s">
        <v>645</v>
      </c>
      <c r="F331" s="22" t="s">
        <v>20</v>
      </c>
      <c r="G331" s="23" t="n">
        <v>1</v>
      </c>
      <c r="H331" s="24" t="n">
        <v>81.14</v>
      </c>
      <c r="I331" s="24" t="n">
        <v>81.14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0" t="n">
        <v>45408.462025463</v>
      </c>
      <c r="B332" s="2" t="s">
        <v>547</v>
      </c>
      <c r="C332" s="2" t="s">
        <v>735</v>
      </c>
      <c r="D332" s="2" t="s">
        <v>527</v>
      </c>
      <c r="E332" s="2" t="s">
        <v>18</v>
      </c>
      <c r="F332" s="2" t="s">
        <v>20</v>
      </c>
      <c r="G332" s="7" t="n">
        <v>1</v>
      </c>
      <c r="H332" s="6" t="n">
        <v>2500</v>
      </c>
      <c r="I332" s="6" t="n">
        <v>-2500</v>
      </c>
      <c r="J332" s="6" t="n">
        <v>0</v>
      </c>
      <c r="K332" s="6" t="n">
        <v>-1.25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5" t="n">
        <v>45408.637106481</v>
      </c>
      <c r="B333" s="26" t="s">
        <v>547</v>
      </c>
      <c r="C333" s="26" t="s">
        <v>735</v>
      </c>
      <c r="D333" s="26" t="s">
        <v>528</v>
      </c>
      <c r="E333" s="26" t="s">
        <v>18</v>
      </c>
      <c r="F333" s="26" t="s">
        <v>20</v>
      </c>
      <c r="G333" s="27" t="n">
        <v>-1</v>
      </c>
      <c r="H333" s="28" t="n">
        <v>2666</v>
      </c>
      <c r="I333" s="28" t="n">
        <v>2666</v>
      </c>
      <c r="J333" s="28" t="n">
        <v>0</v>
      </c>
      <c r="K333" s="28" t="n">
        <v>-1.33</v>
      </c>
      <c r="L333" s="28" t="n">
        <v>0</v>
      </c>
      <c r="M333" s="6" t="s">
        <f>=I333+J333+K333+L333</f>
      </c>
      <c r="N333" s="28"/>
      <c r="O333" s="26"/>
    </row>
    <row collapsed="false" customFormat="false" customHeight="false" hidden="false" ht="12.1" outlineLevel="0" r="334">
      <c r="A334" s="29" t="n">
        <v>45409</v>
      </c>
      <c r="B334" s="30" t="s">
        <v>727</v>
      </c>
      <c r="C334" s="30" t="s">
        <v>730</v>
      </c>
      <c r="D334" s="30" t="s">
        <v>727</v>
      </c>
      <c r="E334" s="30" t="s">
        <v>727</v>
      </c>
      <c r="F334" s="30" t="s">
        <v>20</v>
      </c>
      <c r="G334" s="31" t="n">
        <v>1</v>
      </c>
      <c r="H334" s="32" t="n">
        <v>-0.3</v>
      </c>
      <c r="I334" s="32" t="n">
        <v>-0.3</v>
      </c>
      <c r="J334" s="32" t="n">
        <v>0</v>
      </c>
      <c r="K334" s="32" t="n">
        <v>0</v>
      </c>
      <c r="L334" s="32" t="n">
        <v>0</v>
      </c>
      <c r="M334" s="6" t="s">
        <f>=I334+J334+K334+L334</f>
      </c>
      <c r="N334" s="32"/>
      <c r="O334" s="30"/>
    </row>
    <row collapsed="false" customFormat="false" customHeight="false" hidden="false" ht="12.1" outlineLevel="0" r="335">
      <c r="A335" s="20" t="n">
        <v>45409.869409722</v>
      </c>
      <c r="B335" s="2" t="s">
        <v>133</v>
      </c>
      <c r="C335" s="2" t="s">
        <v>656</v>
      </c>
      <c r="D335" s="2" t="s">
        <v>527</v>
      </c>
      <c r="E335" s="2" t="s">
        <v>124</v>
      </c>
      <c r="F335" s="2" t="s">
        <v>20</v>
      </c>
      <c r="G335" s="7" t="n">
        <v>315</v>
      </c>
      <c r="H335" s="6" t="n">
        <v>1.3878</v>
      </c>
      <c r="I335" s="6" t="n">
        <v>-437.16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1" t="n">
        <v>45414</v>
      </c>
      <c r="B336" s="22" t="s">
        <v>645</v>
      </c>
      <c r="C336" s="22" t="s">
        <v>257</v>
      </c>
      <c r="D336" s="22" t="s">
        <v>645</v>
      </c>
      <c r="E336" s="22" t="s">
        <v>645</v>
      </c>
      <c r="F336" s="22" t="s">
        <v>20</v>
      </c>
      <c r="G336" s="23" t="n">
        <v>1</v>
      </c>
      <c r="H336" s="24" t="n">
        <v>69.6</v>
      </c>
      <c r="I336" s="24" t="n">
        <v>69.6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45414.758298611</v>
      </c>
      <c r="B337" s="2" t="s">
        <v>133</v>
      </c>
      <c r="C337" s="2" t="s">
        <v>656</v>
      </c>
      <c r="D337" s="2" t="s">
        <v>527</v>
      </c>
      <c r="E337" s="2" t="s">
        <v>124</v>
      </c>
      <c r="F337" s="2" t="s">
        <v>20</v>
      </c>
      <c r="G337" s="7" t="n">
        <v>53</v>
      </c>
      <c r="H337" s="6" t="n">
        <v>1.39</v>
      </c>
      <c r="I337" s="6" t="n">
        <v>-73.67</v>
      </c>
      <c r="J337" s="6" t="n">
        <v>0</v>
      </c>
      <c r="K337" s="6" t="n">
        <v>0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45418.576331019</v>
      </c>
      <c r="B338" s="2" t="s">
        <v>49</v>
      </c>
      <c r="C338" s="2" t="s">
        <v>736</v>
      </c>
      <c r="D338" s="2" t="s">
        <v>527</v>
      </c>
      <c r="E338" s="2" t="s">
        <v>18</v>
      </c>
      <c r="F338" s="2" t="s">
        <v>20</v>
      </c>
      <c r="G338" s="7" t="n">
        <v>100</v>
      </c>
      <c r="H338" s="6" t="n">
        <v>35.66</v>
      </c>
      <c r="I338" s="6" t="n">
        <v>-3566</v>
      </c>
      <c r="J338" s="6" t="n">
        <v>0</v>
      </c>
      <c r="K338" s="6" t="n">
        <v>-2.85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45418.577303241</v>
      </c>
      <c r="B339" s="2" t="s">
        <v>123</v>
      </c>
      <c r="C339" s="2" t="s">
        <v>711</v>
      </c>
      <c r="D339" s="2" t="s">
        <v>527</v>
      </c>
      <c r="E339" s="2" t="s">
        <v>124</v>
      </c>
      <c r="F339" s="2" t="s">
        <v>33</v>
      </c>
      <c r="G339" s="7" t="n">
        <v>100</v>
      </c>
      <c r="H339" s="6" t="n">
        <v>10.77</v>
      </c>
      <c r="I339" s="6" t="n">
        <v>-1077</v>
      </c>
      <c r="J339" s="6" t="n">
        <v>0</v>
      </c>
      <c r="K339" s="6" t="n">
        <v>0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45418.57912037</v>
      </c>
      <c r="B340" s="26" t="s">
        <v>133</v>
      </c>
      <c r="C340" s="26" t="s">
        <v>656</v>
      </c>
      <c r="D340" s="26" t="s">
        <v>528</v>
      </c>
      <c r="E340" s="26" t="s">
        <v>124</v>
      </c>
      <c r="F340" s="26" t="s">
        <v>20</v>
      </c>
      <c r="G340" s="27" t="n">
        <v>-2565</v>
      </c>
      <c r="H340" s="28" t="n">
        <v>1.3924</v>
      </c>
      <c r="I340" s="28" t="n">
        <v>3571.51</v>
      </c>
      <c r="J340" s="28" t="n">
        <v>0</v>
      </c>
      <c r="K340" s="28" t="n">
        <v>0</v>
      </c>
      <c r="L340" s="28" t="n">
        <v>0</v>
      </c>
      <c r="M340" s="6" t="s">
        <f>=I340+J340+K340+L340</f>
      </c>
      <c r="N340" s="28"/>
      <c r="O340" s="26"/>
    </row>
    <row collapsed="false" customFormat="false" customHeight="false" hidden="false" ht="12.1" outlineLevel="0" r="341">
      <c r="A341" s="20" t="n">
        <v>45429.669155093</v>
      </c>
      <c r="B341" s="2" t="s">
        <v>140</v>
      </c>
      <c r="C341" s="2" t="s">
        <v>724</v>
      </c>
      <c r="D341" s="2" t="s">
        <v>527</v>
      </c>
      <c r="E341" s="2" t="s">
        <v>137</v>
      </c>
      <c r="F341" s="2" t="s">
        <v>20</v>
      </c>
      <c r="G341" s="7" t="n">
        <v>20</v>
      </c>
      <c r="H341" s="6" t="n">
        <v>60.899</v>
      </c>
      <c r="I341" s="6" t="n">
        <v>-12179.8</v>
      </c>
      <c r="J341" s="6" t="n">
        <v>-368.2</v>
      </c>
      <c r="K341" s="6" t="n">
        <v>-7.13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45429.670856481</v>
      </c>
      <c r="B342" s="2" t="s">
        <v>149</v>
      </c>
      <c r="C342" s="2" t="s">
        <v>726</v>
      </c>
      <c r="D342" s="2" t="s">
        <v>527</v>
      </c>
      <c r="E342" s="2" t="s">
        <v>137</v>
      </c>
      <c r="F342" s="2" t="s">
        <v>20</v>
      </c>
      <c r="G342" s="7" t="n">
        <v>15</v>
      </c>
      <c r="H342" s="6" t="n">
        <v>70.054</v>
      </c>
      <c r="I342" s="6" t="n">
        <v>-10508.1</v>
      </c>
      <c r="J342" s="6" t="n">
        <v>-148.65</v>
      </c>
      <c r="K342" s="6" t="n">
        <v>-6.14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45429.672002315</v>
      </c>
      <c r="B343" s="2" t="s">
        <v>136</v>
      </c>
      <c r="C343" s="2" t="s">
        <v>725</v>
      </c>
      <c r="D343" s="2" t="s">
        <v>527</v>
      </c>
      <c r="E343" s="2" t="s">
        <v>137</v>
      </c>
      <c r="F343" s="2" t="s">
        <v>20</v>
      </c>
      <c r="G343" s="7" t="n">
        <v>17</v>
      </c>
      <c r="H343" s="6" t="n">
        <v>57.619647058824</v>
      </c>
      <c r="I343" s="6" t="n">
        <v>-9795.34</v>
      </c>
      <c r="J343" s="6" t="n">
        <v>-548.93</v>
      </c>
      <c r="K343" s="6" t="n">
        <v>-5.74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45429.673009259</v>
      </c>
      <c r="B344" s="2" t="s">
        <v>158</v>
      </c>
      <c r="C344" s="2" t="s">
        <v>702</v>
      </c>
      <c r="D344" s="2" t="s">
        <v>527</v>
      </c>
      <c r="E344" s="2" t="s">
        <v>137</v>
      </c>
      <c r="F344" s="2" t="s">
        <v>20</v>
      </c>
      <c r="G344" s="7" t="n">
        <v>16</v>
      </c>
      <c r="H344" s="6" t="n">
        <v>75.845</v>
      </c>
      <c r="I344" s="6" t="n">
        <v>-12135.2</v>
      </c>
      <c r="J344" s="6" t="n">
        <v>-179.2</v>
      </c>
      <c r="K344" s="6" t="n">
        <v>-7.11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5" t="n">
        <v>45429.67431713</v>
      </c>
      <c r="B345" s="26" t="s">
        <v>133</v>
      </c>
      <c r="C345" s="26" t="s">
        <v>656</v>
      </c>
      <c r="D345" s="26" t="s">
        <v>528</v>
      </c>
      <c r="E345" s="26" t="s">
        <v>124</v>
      </c>
      <c r="F345" s="26" t="s">
        <v>20</v>
      </c>
      <c r="G345" s="27" t="n">
        <v>-32782</v>
      </c>
      <c r="H345" s="28" t="n">
        <v>1.3998</v>
      </c>
      <c r="I345" s="28" t="n">
        <v>45888.24</v>
      </c>
      <c r="J345" s="28" t="n">
        <v>0</v>
      </c>
      <c r="K345" s="28" t="n">
        <v>0</v>
      </c>
      <c r="L345" s="28" t="n">
        <v>0</v>
      </c>
      <c r="M345" s="6" t="s">
        <f>=I345+J345+K345+L345</f>
      </c>
      <c r="N345" s="28"/>
      <c r="O345" s="26"/>
    </row>
    <row collapsed="false" customFormat="false" customHeight="false" hidden="false" ht="12.1" outlineLevel="0" r="346">
      <c r="A346" s="20" t="n">
        <v>45435.515868056</v>
      </c>
      <c r="B346" s="2" t="s">
        <v>538</v>
      </c>
      <c r="C346" s="2" t="s">
        <v>673</v>
      </c>
      <c r="D346" s="2" t="s">
        <v>527</v>
      </c>
      <c r="E346" s="2" t="s">
        <v>18</v>
      </c>
      <c r="F346" s="2" t="s">
        <v>20</v>
      </c>
      <c r="G346" s="7" t="n">
        <v>5</v>
      </c>
      <c r="H346" s="6" t="n">
        <v>116.6</v>
      </c>
      <c r="I346" s="6" t="n">
        <v>-583</v>
      </c>
      <c r="J346" s="6" t="n">
        <v>0</v>
      </c>
      <c r="K346" s="6" t="n">
        <v>-0.29</v>
      </c>
      <c r="L346" s="6" t="n">
        <v>0</v>
      </c>
      <c r="M346" s="6" t="s">
        <f>=I346+J346+K346+L346</f>
      </c>
      <c r="N346" s="6"/>
      <c r="O346" s="2"/>
    </row>
    <row collapsed="false" customFormat="false" customHeight="false" hidden="false" ht="12.1" outlineLevel="0" r="347">
      <c r="A347" s="25" t="n">
        <v>45435.517152778</v>
      </c>
      <c r="B347" s="26" t="s">
        <v>133</v>
      </c>
      <c r="C347" s="26" t="s">
        <v>656</v>
      </c>
      <c r="D347" s="26" t="s">
        <v>528</v>
      </c>
      <c r="E347" s="26" t="s">
        <v>124</v>
      </c>
      <c r="F347" s="26" t="s">
        <v>20</v>
      </c>
      <c r="G347" s="27" t="n">
        <v>-414</v>
      </c>
      <c r="H347" s="28" t="n">
        <v>1.4023</v>
      </c>
      <c r="I347" s="28" t="n">
        <v>580.55</v>
      </c>
      <c r="J347" s="28" t="n">
        <v>0</v>
      </c>
      <c r="K347" s="28" t="n">
        <v>0</v>
      </c>
      <c r="L347" s="28" t="n">
        <v>0</v>
      </c>
      <c r="M347" s="6" t="s">
        <f>=I347+J347+K347+L347</f>
      </c>
      <c r="N347" s="28"/>
      <c r="O347" s="26"/>
    </row>
    <row collapsed="false" customFormat="false" customHeight="false" hidden="false" ht="12.1" outlineLevel="0" r="348">
      <c r="A348" s="21" t="n">
        <v>45441</v>
      </c>
      <c r="B348" s="22" t="s">
        <v>645</v>
      </c>
      <c r="C348" s="22" t="s">
        <v>257</v>
      </c>
      <c r="D348" s="22" t="s">
        <v>645</v>
      </c>
      <c r="E348" s="22" t="s">
        <v>645</v>
      </c>
      <c r="F348" s="22" t="s">
        <v>20</v>
      </c>
      <c r="G348" s="23" t="n">
        <v>1</v>
      </c>
      <c r="H348" s="24" t="n">
        <v>910.4</v>
      </c>
      <c r="I348" s="24" t="n">
        <v>910.4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9" t="n">
        <v>45442</v>
      </c>
      <c r="B349" s="30" t="s">
        <v>727</v>
      </c>
      <c r="C349" s="30" t="s">
        <v>728</v>
      </c>
      <c r="D349" s="30" t="s">
        <v>727</v>
      </c>
      <c r="E349" s="30" t="s">
        <v>727</v>
      </c>
      <c r="F349" s="30" t="s">
        <v>20</v>
      </c>
      <c r="G349" s="31" t="n">
        <v>1</v>
      </c>
      <c r="H349" s="32" t="n">
        <v>-1.97</v>
      </c>
      <c r="I349" s="32" t="n">
        <v>-1.97</v>
      </c>
      <c r="J349" s="32" t="n">
        <v>0</v>
      </c>
      <c r="K349" s="32" t="n">
        <v>0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0" t="n">
        <v>45442.585925926</v>
      </c>
      <c r="B350" s="2" t="s">
        <v>66</v>
      </c>
      <c r="C350" s="2" t="s">
        <v>67</v>
      </c>
      <c r="D350" s="2" t="s">
        <v>527</v>
      </c>
      <c r="E350" s="2" t="s">
        <v>18</v>
      </c>
      <c r="F350" s="2" t="s">
        <v>20</v>
      </c>
      <c r="G350" s="7" t="n">
        <v>22000</v>
      </c>
      <c r="H350" s="6" t="n">
        <v>0.2236</v>
      </c>
      <c r="I350" s="6" t="n">
        <v>-4919.2</v>
      </c>
      <c r="J350" s="6" t="n">
        <v>0</v>
      </c>
      <c r="K350" s="6" t="n">
        <v>-2.95</v>
      </c>
      <c r="L350" s="6" t="n">
        <v>0</v>
      </c>
      <c r="M350" s="6" t="s">
        <f>=I350+J350+K350+L350</f>
      </c>
      <c r="N350" s="6"/>
      <c r="O350" s="2"/>
    </row>
    <row collapsed="false" customFormat="false" customHeight="false" hidden="false" ht="12.1" outlineLevel="0" r="351">
      <c r="A351" s="25" t="n">
        <v>45442.688796296</v>
      </c>
      <c r="B351" s="26" t="s">
        <v>133</v>
      </c>
      <c r="C351" s="26" t="s">
        <v>656</v>
      </c>
      <c r="D351" s="26" t="s">
        <v>528</v>
      </c>
      <c r="E351" s="26" t="s">
        <v>124</v>
      </c>
      <c r="F351" s="26" t="s">
        <v>20</v>
      </c>
      <c r="G351" s="27" t="n">
        <v>-2870</v>
      </c>
      <c r="H351" s="28" t="n">
        <v>1.4068</v>
      </c>
      <c r="I351" s="28" t="n">
        <v>4037.52</v>
      </c>
      <c r="J351" s="28" t="n">
        <v>0</v>
      </c>
      <c r="K351" s="28" t="n">
        <v>0</v>
      </c>
      <c r="L351" s="28" t="n">
        <v>0</v>
      </c>
      <c r="M351" s="6" t="s">
        <f>=I351+J351+K351+L351</f>
      </c>
      <c r="N351" s="28"/>
      <c r="O351" s="26"/>
    </row>
    <row collapsed="false" customFormat="false" customHeight="false" hidden="false" ht="12.1" outlineLevel="0" r="352">
      <c r="A352" s="29" t="n">
        <v>45443</v>
      </c>
      <c r="B352" s="30" t="s">
        <v>727</v>
      </c>
      <c r="C352" s="30" t="s">
        <v>730</v>
      </c>
      <c r="D352" s="30" t="s">
        <v>727</v>
      </c>
      <c r="E352" s="30" t="s">
        <v>727</v>
      </c>
      <c r="F352" s="30" t="s">
        <v>20</v>
      </c>
      <c r="G352" s="31" t="n">
        <v>1</v>
      </c>
      <c r="H352" s="32" t="n">
        <v>-0.54</v>
      </c>
      <c r="I352" s="32" t="n">
        <v>-0.54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0" t="n">
        <v>45446.634375</v>
      </c>
      <c r="B353" s="2" t="s">
        <v>54</v>
      </c>
      <c r="C353" s="2" t="s">
        <v>55</v>
      </c>
      <c r="D353" s="2" t="s">
        <v>527</v>
      </c>
      <c r="E353" s="2" t="s">
        <v>18</v>
      </c>
      <c r="F353" s="2" t="s">
        <v>20</v>
      </c>
      <c r="G353" s="7" t="n">
        <v>3000</v>
      </c>
      <c r="H353" s="6" t="n">
        <v>0.87583333333333</v>
      </c>
      <c r="I353" s="6" t="n">
        <v>-2627.5</v>
      </c>
      <c r="J353" s="6" t="n">
        <v>0</v>
      </c>
      <c r="K353" s="6" t="n">
        <v>-2.1</v>
      </c>
      <c r="L353" s="6" t="n">
        <v>0</v>
      </c>
      <c r="M353" s="6" t="s">
        <f>=I353+J353+K353+L353</f>
      </c>
      <c r="N353" s="6"/>
      <c r="O353" s="2"/>
    </row>
    <row collapsed="false" customFormat="false" customHeight="false" hidden="false" ht="12.1" outlineLevel="0" r="354">
      <c r="A354" s="25" t="n">
        <v>45446.784710648</v>
      </c>
      <c r="B354" s="26" t="s">
        <v>133</v>
      </c>
      <c r="C354" s="26" t="s">
        <v>656</v>
      </c>
      <c r="D354" s="26" t="s">
        <v>528</v>
      </c>
      <c r="E354" s="26" t="s">
        <v>124</v>
      </c>
      <c r="F354" s="26" t="s">
        <v>20</v>
      </c>
      <c r="G354" s="27" t="n">
        <v>-1853</v>
      </c>
      <c r="H354" s="28" t="n">
        <v>1.4091</v>
      </c>
      <c r="I354" s="28" t="n">
        <v>2611.06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8"/>
      <c r="O354" s="26"/>
    </row>
    <row collapsed="false" customFormat="false" customHeight="false" hidden="false" ht="12.1" outlineLevel="0" r="355">
      <c r="A355" s="20" t="n">
        <v>45447.457141204</v>
      </c>
      <c r="B355" s="2" t="s">
        <v>136</v>
      </c>
      <c r="C355" s="2" t="s">
        <v>725</v>
      </c>
      <c r="D355" s="2" t="s">
        <v>527</v>
      </c>
      <c r="E355" s="2" t="s">
        <v>137</v>
      </c>
      <c r="F355" s="2" t="s">
        <v>20</v>
      </c>
      <c r="G355" s="7" t="n">
        <v>10</v>
      </c>
      <c r="H355" s="6" t="n">
        <v>54.96</v>
      </c>
      <c r="I355" s="6" t="n">
        <v>-5496</v>
      </c>
      <c r="J355" s="6" t="n">
        <v>0</v>
      </c>
      <c r="K355" s="6" t="n">
        <v>-3.57</v>
      </c>
      <c r="L355" s="6" t="n">
        <v>0</v>
      </c>
      <c r="M355" s="6" t="s">
        <f>=I355+J355+K355+L355</f>
      </c>
      <c r="N355" s="6"/>
      <c r="O355" s="2"/>
    </row>
    <row collapsed="false" customFormat="false" customHeight="false" hidden="false" ht="12.1" outlineLevel="0" r="356">
      <c r="A356" s="25" t="n">
        <v>45447.457951389</v>
      </c>
      <c r="B356" s="26" t="s">
        <v>133</v>
      </c>
      <c r="C356" s="26" t="s">
        <v>656</v>
      </c>
      <c r="D356" s="26" t="s">
        <v>528</v>
      </c>
      <c r="E356" s="26" t="s">
        <v>124</v>
      </c>
      <c r="F356" s="26" t="s">
        <v>20</v>
      </c>
      <c r="G356" s="27" t="n">
        <v>-3903</v>
      </c>
      <c r="H356" s="28" t="n">
        <v>1.4097</v>
      </c>
      <c r="I356" s="28" t="n">
        <v>5502.06</v>
      </c>
      <c r="J356" s="28" t="n">
        <v>0</v>
      </c>
      <c r="K356" s="28" t="n">
        <v>0</v>
      </c>
      <c r="L356" s="28" t="n">
        <v>0</v>
      </c>
      <c r="M356" s="6" t="s">
        <f>=I356+J356+K356+L356</f>
      </c>
      <c r="N356" s="28"/>
      <c r="O356" s="26"/>
    </row>
    <row collapsed="false" customFormat="false" customHeight="false" hidden="false" ht="12.1" outlineLevel="0" r="357">
      <c r="A357" s="20" t="n">
        <v>45454.461574074</v>
      </c>
      <c r="B357" s="2" t="s">
        <v>78</v>
      </c>
      <c r="C357" s="2" t="s">
        <v>737</v>
      </c>
      <c r="D357" s="2" t="s">
        <v>527</v>
      </c>
      <c r="E357" s="2" t="s">
        <v>18</v>
      </c>
      <c r="F357" s="2" t="s">
        <v>20</v>
      </c>
      <c r="G357" s="7" t="n">
        <v>5</v>
      </c>
      <c r="H357" s="6" t="n">
        <v>298.85</v>
      </c>
      <c r="I357" s="6" t="n">
        <v>-1494.25</v>
      </c>
      <c r="J357" s="6" t="n">
        <v>0</v>
      </c>
      <c r="K357" s="6" t="n">
        <v>-1.2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0" t="n">
        <v>45454.462824074</v>
      </c>
      <c r="B358" s="2" t="s">
        <v>49</v>
      </c>
      <c r="C358" s="2" t="s">
        <v>736</v>
      </c>
      <c r="D358" s="2" t="s">
        <v>527</v>
      </c>
      <c r="E358" s="2" t="s">
        <v>18</v>
      </c>
      <c r="F358" s="2" t="s">
        <v>20</v>
      </c>
      <c r="G358" s="7" t="n">
        <v>100</v>
      </c>
      <c r="H358" s="6" t="n">
        <v>28.865</v>
      </c>
      <c r="I358" s="6" t="n">
        <v>-2886.5</v>
      </c>
      <c r="J358" s="6" t="n">
        <v>0</v>
      </c>
      <c r="K358" s="6" t="n">
        <v>-2.31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45454.464930556</v>
      </c>
      <c r="B359" s="2" t="s">
        <v>128</v>
      </c>
      <c r="C359" s="2" t="s">
        <v>657</v>
      </c>
      <c r="D359" s="2" t="s">
        <v>527</v>
      </c>
      <c r="E359" s="2" t="s">
        <v>124</v>
      </c>
      <c r="F359" s="2" t="s">
        <v>20</v>
      </c>
      <c r="G359" s="7" t="n">
        <v>6000</v>
      </c>
      <c r="H359" s="6" t="n">
        <v>1.6777980833333</v>
      </c>
      <c r="I359" s="6" t="n">
        <v>-10066.79</v>
      </c>
      <c r="J359" s="6" t="n">
        <v>0</v>
      </c>
      <c r="K359" s="6" t="n">
        <v>-3.03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5" t="n">
        <v>45454.465891204</v>
      </c>
      <c r="B360" s="26" t="s">
        <v>133</v>
      </c>
      <c r="C360" s="26" t="s">
        <v>656</v>
      </c>
      <c r="D360" s="26" t="s">
        <v>528</v>
      </c>
      <c r="E360" s="26" t="s">
        <v>124</v>
      </c>
      <c r="F360" s="26" t="s">
        <v>20</v>
      </c>
      <c r="G360" s="27" t="n">
        <v>-10220</v>
      </c>
      <c r="H360" s="28" t="n">
        <v>1.4148</v>
      </c>
      <c r="I360" s="28" t="n">
        <v>14459.26</v>
      </c>
      <c r="J360" s="28" t="n">
        <v>0</v>
      </c>
      <c r="K360" s="28" t="n">
        <v>0</v>
      </c>
      <c r="L360" s="28" t="n">
        <v>0</v>
      </c>
      <c r="M360" s="6" t="s">
        <f>=I360+J360+K360+L360</f>
      </c>
      <c r="N360" s="28"/>
      <c r="O360" s="26"/>
    </row>
    <row collapsed="false" customFormat="false" customHeight="false" hidden="false" ht="12.1" outlineLevel="0" r="361">
      <c r="A361" s="21" t="n">
        <v>45456</v>
      </c>
      <c r="B361" s="22" t="s">
        <v>720</v>
      </c>
      <c r="C361" s="22" t="s">
        <v>738</v>
      </c>
      <c r="D361" s="22" t="s">
        <v>720</v>
      </c>
      <c r="E361" s="22" t="s">
        <v>720</v>
      </c>
      <c r="F361" s="22" t="s">
        <v>20</v>
      </c>
      <c r="G361" s="23" t="n">
        <v>1</v>
      </c>
      <c r="H361" s="24" t="n">
        <v>15.39</v>
      </c>
      <c r="I361" s="24" t="n">
        <v>15.39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0" t="n">
        <v>45461.469837963</v>
      </c>
      <c r="B362" s="2" t="s">
        <v>136</v>
      </c>
      <c r="C362" s="2" t="s">
        <v>725</v>
      </c>
      <c r="D362" s="2" t="s">
        <v>527</v>
      </c>
      <c r="E362" s="2" t="s">
        <v>137</v>
      </c>
      <c r="F362" s="2" t="s">
        <v>20</v>
      </c>
      <c r="G362" s="7" t="n">
        <v>20</v>
      </c>
      <c r="H362" s="6" t="n">
        <v>53.446</v>
      </c>
      <c r="I362" s="6" t="n">
        <v>-10689.2</v>
      </c>
      <c r="J362" s="6" t="n">
        <v>-54.4</v>
      </c>
      <c r="K362" s="6" t="n">
        <v>-6.26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5" t="n">
        <v>45461.471747685</v>
      </c>
      <c r="B363" s="26" t="s">
        <v>538</v>
      </c>
      <c r="C363" s="26" t="s">
        <v>673</v>
      </c>
      <c r="D363" s="26" t="s">
        <v>528</v>
      </c>
      <c r="E363" s="26" t="s">
        <v>18</v>
      </c>
      <c r="F363" s="26" t="s">
        <v>20</v>
      </c>
      <c r="G363" s="27" t="n">
        <v>-5</v>
      </c>
      <c r="H363" s="28" t="n">
        <v>131.9</v>
      </c>
      <c r="I363" s="28" t="n">
        <v>659.5</v>
      </c>
      <c r="J363" s="28" t="n">
        <v>0</v>
      </c>
      <c r="K363" s="28" t="n">
        <v>-0.33</v>
      </c>
      <c r="L363" s="28" t="n">
        <v>0</v>
      </c>
      <c r="M363" s="6" t="s">
        <f>=I363+J363+K363+L363</f>
      </c>
      <c r="N363" s="28"/>
      <c r="O363" s="26"/>
    </row>
    <row collapsed="false" customFormat="false" customHeight="false" hidden="false" ht="12.1" outlineLevel="0" r="364">
      <c r="A364" s="25" t="n">
        <v>45461.472673611</v>
      </c>
      <c r="B364" s="26" t="s">
        <v>133</v>
      </c>
      <c r="C364" s="26" t="s">
        <v>656</v>
      </c>
      <c r="D364" s="26" t="s">
        <v>528</v>
      </c>
      <c r="E364" s="26" t="s">
        <v>124</v>
      </c>
      <c r="F364" s="26" t="s">
        <v>20</v>
      </c>
      <c r="G364" s="27" t="n">
        <v>-7100</v>
      </c>
      <c r="H364" s="28" t="n">
        <v>1.4184</v>
      </c>
      <c r="I364" s="28" t="n">
        <v>10070.64</v>
      </c>
      <c r="J364" s="28" t="n">
        <v>0</v>
      </c>
      <c r="K364" s="28" t="n">
        <v>0</v>
      </c>
      <c r="L364" s="28" t="n">
        <v>0</v>
      </c>
      <c r="M364" s="6" t="s">
        <f>=I364+J364+K364+L364</f>
      </c>
      <c r="N364" s="28"/>
      <c r="O364" s="26"/>
    </row>
    <row collapsed="false" customFormat="false" customHeight="false" hidden="false" ht="12.1" outlineLevel="0" r="365">
      <c r="A365" s="29" t="n">
        <v>45462</v>
      </c>
      <c r="B365" s="30" t="s">
        <v>727</v>
      </c>
      <c r="C365" s="30" t="s">
        <v>739</v>
      </c>
      <c r="D365" s="30" t="s">
        <v>727</v>
      </c>
      <c r="E365" s="30" t="s">
        <v>727</v>
      </c>
      <c r="F365" s="30" t="s">
        <v>20</v>
      </c>
      <c r="G365" s="31" t="n">
        <v>1</v>
      </c>
      <c r="H365" s="32" t="n">
        <v>-5.66</v>
      </c>
      <c r="I365" s="32" t="n">
        <v>-5.66</v>
      </c>
      <c r="J365" s="32" t="n">
        <v>0</v>
      </c>
      <c r="K365" s="32" t="n">
        <v>0</v>
      </c>
      <c r="L365" s="32" t="n">
        <v>0</v>
      </c>
      <c r="M365" s="6" t="s">
        <f>=I365+J365+K365+L365</f>
      </c>
      <c r="N365" s="32"/>
      <c r="O365" s="30"/>
    </row>
    <row collapsed="false" customFormat="false" customHeight="false" hidden="false" ht="12.1" outlineLevel="0" r="366">
      <c r="A366" s="21" t="n">
        <v>45462</v>
      </c>
      <c r="B366" s="22" t="s">
        <v>645</v>
      </c>
      <c r="C366" s="22" t="s">
        <v>257</v>
      </c>
      <c r="D366" s="22" t="s">
        <v>645</v>
      </c>
      <c r="E366" s="22" t="s">
        <v>645</v>
      </c>
      <c r="F366" s="22" t="s">
        <v>20</v>
      </c>
      <c r="G366" s="23" t="n">
        <v>1</v>
      </c>
      <c r="H366" s="24" t="n">
        <v>751.82</v>
      </c>
      <c r="I366" s="24" t="n">
        <v>751.82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4"/>
      <c r="O366" s="22"/>
    </row>
    <row collapsed="false" customFormat="false" customHeight="false" hidden="false" ht="12.1" outlineLevel="0" r="367">
      <c r="A367" s="20" t="n">
        <v>45462.498865741</v>
      </c>
      <c r="B367" s="2" t="s">
        <v>136</v>
      </c>
      <c r="C367" s="2" t="s">
        <v>725</v>
      </c>
      <c r="D367" s="2" t="s">
        <v>527</v>
      </c>
      <c r="E367" s="2" t="s">
        <v>137</v>
      </c>
      <c r="F367" s="2" t="s">
        <v>20</v>
      </c>
      <c r="G367" s="7" t="n">
        <v>1</v>
      </c>
      <c r="H367" s="6" t="n">
        <v>52.979</v>
      </c>
      <c r="I367" s="6" t="n">
        <v>-529.79</v>
      </c>
      <c r="J367" s="6" t="n">
        <v>-2.92</v>
      </c>
      <c r="K367" s="6" t="n">
        <v>-0.31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45462.499502315</v>
      </c>
      <c r="B368" s="2" t="s">
        <v>126</v>
      </c>
      <c r="C368" s="2" t="s">
        <v>709</v>
      </c>
      <c r="D368" s="2" t="s">
        <v>527</v>
      </c>
      <c r="E368" s="2" t="s">
        <v>124</v>
      </c>
      <c r="F368" s="2" t="s">
        <v>20</v>
      </c>
      <c r="G368" s="7" t="n">
        <v>1</v>
      </c>
      <c r="H368" s="6" t="n">
        <v>141.4</v>
      </c>
      <c r="I368" s="6" t="n">
        <v>-141.4</v>
      </c>
      <c r="J368" s="6" t="n">
        <v>0</v>
      </c>
      <c r="K368" s="6" t="n">
        <v>-0.04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1" t="n">
        <v>45463</v>
      </c>
      <c r="B369" s="22" t="s">
        <v>645</v>
      </c>
      <c r="C369" s="22" t="s">
        <v>257</v>
      </c>
      <c r="D369" s="22" t="s">
        <v>645</v>
      </c>
      <c r="E369" s="22" t="s">
        <v>645</v>
      </c>
      <c r="F369" s="22" t="s">
        <v>20</v>
      </c>
      <c r="G369" s="23" t="n">
        <v>1</v>
      </c>
      <c r="H369" s="24" t="n">
        <v>35</v>
      </c>
      <c r="I369" s="24" t="n">
        <v>35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4"/>
      <c r="O369" s="22"/>
    </row>
    <row collapsed="false" customFormat="false" customHeight="false" hidden="false" ht="12.1" outlineLevel="0" r="370">
      <c r="A370" s="20" t="n">
        <v>45463.613796296</v>
      </c>
      <c r="B370" s="2" t="s">
        <v>131</v>
      </c>
      <c r="C370" s="2" t="s">
        <v>654</v>
      </c>
      <c r="D370" s="2" t="s">
        <v>527</v>
      </c>
      <c r="E370" s="2" t="s">
        <v>124</v>
      </c>
      <c r="F370" s="2" t="s">
        <v>20</v>
      </c>
      <c r="G370" s="7" t="n">
        <v>31</v>
      </c>
      <c r="H370" s="6" t="n">
        <v>136.5</v>
      </c>
      <c r="I370" s="6" t="n">
        <v>-4231.5</v>
      </c>
      <c r="J370" s="6" t="n">
        <v>0</v>
      </c>
      <c r="K370" s="6" t="n">
        <v>-1.27</v>
      </c>
      <c r="L370" s="6" t="n">
        <v>0</v>
      </c>
      <c r="M370" s="6" t="s">
        <f>=I370+J370+K370+L370</f>
      </c>
      <c r="N370" s="6"/>
      <c r="O370" s="2"/>
    </row>
    <row collapsed="false" customFormat="false" customHeight="false" hidden="false" ht="12.1" outlineLevel="0" r="371">
      <c r="A371" s="25" t="n">
        <v>45463.616273148</v>
      </c>
      <c r="B371" s="26" t="s">
        <v>133</v>
      </c>
      <c r="C371" s="26" t="s">
        <v>656</v>
      </c>
      <c r="D371" s="26" t="s">
        <v>528</v>
      </c>
      <c r="E371" s="26" t="s">
        <v>124</v>
      </c>
      <c r="F371" s="26" t="s">
        <v>20</v>
      </c>
      <c r="G371" s="27" t="n">
        <v>-2900</v>
      </c>
      <c r="H371" s="28" t="n">
        <v>1.4193</v>
      </c>
      <c r="I371" s="28" t="n">
        <v>4115.97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1" t="n">
        <v>45464</v>
      </c>
      <c r="B372" s="22" t="s">
        <v>645</v>
      </c>
      <c r="C372" s="22" t="s">
        <v>257</v>
      </c>
      <c r="D372" s="22" t="s">
        <v>645</v>
      </c>
      <c r="E372" s="22" t="s">
        <v>645</v>
      </c>
      <c r="F372" s="22" t="s">
        <v>20</v>
      </c>
      <c r="G372" s="23" t="n">
        <v>1</v>
      </c>
      <c r="H372" s="24" t="n">
        <v>11390</v>
      </c>
      <c r="I372" s="24" t="n">
        <v>11390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0" t="n">
        <v>45464.592083333</v>
      </c>
      <c r="B373" s="2" t="s">
        <v>140</v>
      </c>
      <c r="C373" s="2" t="s">
        <v>724</v>
      </c>
      <c r="D373" s="2" t="s">
        <v>527</v>
      </c>
      <c r="E373" s="2" t="s">
        <v>137</v>
      </c>
      <c r="F373" s="2" t="s">
        <v>20</v>
      </c>
      <c r="G373" s="7" t="n">
        <v>20</v>
      </c>
      <c r="H373" s="6" t="n">
        <v>55.715</v>
      </c>
      <c r="I373" s="6" t="n">
        <v>-11143</v>
      </c>
      <c r="J373" s="6" t="n">
        <v>-502.4</v>
      </c>
      <c r="K373" s="6" t="n">
        <v>-6.51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5" t="n">
        <v>45464.593553241</v>
      </c>
      <c r="B374" s="26" t="s">
        <v>133</v>
      </c>
      <c r="C374" s="26" t="s">
        <v>656</v>
      </c>
      <c r="D374" s="26" t="s">
        <v>528</v>
      </c>
      <c r="E374" s="26" t="s">
        <v>124</v>
      </c>
      <c r="F374" s="26" t="s">
        <v>20</v>
      </c>
      <c r="G374" s="27" t="n">
        <v>-187</v>
      </c>
      <c r="H374" s="28" t="n">
        <v>1.4211</v>
      </c>
      <c r="I374" s="28" t="n">
        <v>265.75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45467</v>
      </c>
      <c r="B375" s="22" t="s">
        <v>645</v>
      </c>
      <c r="C375" s="22" t="s">
        <v>257</v>
      </c>
      <c r="D375" s="22" t="s">
        <v>645</v>
      </c>
      <c r="E375" s="22" t="s">
        <v>645</v>
      </c>
      <c r="F375" s="22" t="s">
        <v>20</v>
      </c>
      <c r="G375" s="23" t="n">
        <v>1</v>
      </c>
      <c r="H375" s="24" t="n">
        <v>11920</v>
      </c>
      <c r="I375" s="24" t="n">
        <v>11920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0" t="n">
        <v>45467.442939815</v>
      </c>
      <c r="B376" s="2" t="s">
        <v>548</v>
      </c>
      <c r="C376" s="2" t="s">
        <v>740</v>
      </c>
      <c r="D376" s="2" t="s">
        <v>527</v>
      </c>
      <c r="E376" s="2" t="s">
        <v>18</v>
      </c>
      <c r="F376" s="2" t="s">
        <v>20</v>
      </c>
      <c r="G376" s="7" t="n">
        <v>1</v>
      </c>
      <c r="H376" s="6" t="n">
        <v>11915.5</v>
      </c>
      <c r="I376" s="6" t="n">
        <v>-11915.5</v>
      </c>
      <c r="J376" s="6" t="n">
        <v>0</v>
      </c>
      <c r="K376" s="6" t="n">
        <v>-9.54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1" t="n">
        <v>45473</v>
      </c>
      <c r="B377" s="22" t="s">
        <v>645</v>
      </c>
      <c r="C377" s="22" t="s">
        <v>257</v>
      </c>
      <c r="D377" s="22" t="s">
        <v>645</v>
      </c>
      <c r="E377" s="22" t="s">
        <v>645</v>
      </c>
      <c r="F377" s="22" t="s">
        <v>20</v>
      </c>
      <c r="G377" s="23" t="n">
        <v>1</v>
      </c>
      <c r="H377" s="24" t="n">
        <v>12483.2</v>
      </c>
      <c r="I377" s="24" t="n">
        <v>12483.2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45474</v>
      </c>
      <c r="B378" s="22" t="s">
        <v>720</v>
      </c>
      <c r="C378" s="22" t="s">
        <v>741</v>
      </c>
      <c r="D378" s="22" t="s">
        <v>720</v>
      </c>
      <c r="E378" s="22" t="s">
        <v>720</v>
      </c>
      <c r="F378" s="22" t="s">
        <v>20</v>
      </c>
      <c r="G378" s="23" t="n">
        <v>1</v>
      </c>
      <c r="H378" s="24" t="n">
        <v>404.11</v>
      </c>
      <c r="I378" s="24" t="n">
        <v>404.11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0" t="n">
        <v>45474.422384259</v>
      </c>
      <c r="B379" s="2" t="s">
        <v>31</v>
      </c>
      <c r="C379" s="2" t="s">
        <v>742</v>
      </c>
      <c r="D379" s="2" t="s">
        <v>527</v>
      </c>
      <c r="E379" s="2" t="s">
        <v>18</v>
      </c>
      <c r="F379" s="2" t="s">
        <v>20</v>
      </c>
      <c r="G379" s="7" t="n">
        <v>1</v>
      </c>
      <c r="H379" s="6" t="n">
        <v>6419.5</v>
      </c>
      <c r="I379" s="6" t="n">
        <v>-6419.5</v>
      </c>
      <c r="J379" s="6" t="n">
        <v>0</v>
      </c>
      <c r="K379" s="6" t="n">
        <v>-5.14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45474.422881944</v>
      </c>
      <c r="B380" s="2" t="s">
        <v>70</v>
      </c>
      <c r="C380" s="2" t="s">
        <v>743</v>
      </c>
      <c r="D380" s="2" t="s">
        <v>527</v>
      </c>
      <c r="E380" s="2" t="s">
        <v>18</v>
      </c>
      <c r="F380" s="2" t="s">
        <v>20</v>
      </c>
      <c r="G380" s="7" t="n">
        <v>10</v>
      </c>
      <c r="H380" s="6" t="n">
        <v>177.64</v>
      </c>
      <c r="I380" s="6" t="n">
        <v>-1776.4</v>
      </c>
      <c r="J380" s="6" t="n">
        <v>0</v>
      </c>
      <c r="K380" s="6" t="n">
        <v>-1.43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45474.436203704</v>
      </c>
      <c r="B381" s="2" t="s">
        <v>133</v>
      </c>
      <c r="C381" s="2" t="s">
        <v>656</v>
      </c>
      <c r="D381" s="2" t="s">
        <v>527</v>
      </c>
      <c r="E381" s="2" t="s">
        <v>124</v>
      </c>
      <c r="F381" s="2" t="s">
        <v>20</v>
      </c>
      <c r="G381" s="7" t="n">
        <v>3285</v>
      </c>
      <c r="H381" s="6" t="n">
        <v>1.4260086757991</v>
      </c>
      <c r="I381" s="6" t="n">
        <v>-4684.44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1" t="n">
        <v>45483</v>
      </c>
      <c r="B382" s="22" t="s">
        <v>645</v>
      </c>
      <c r="C382" s="22" t="s">
        <v>257</v>
      </c>
      <c r="D382" s="22" t="s">
        <v>645</v>
      </c>
      <c r="E382" s="22" t="s">
        <v>645</v>
      </c>
      <c r="F382" s="22" t="s">
        <v>20</v>
      </c>
      <c r="G382" s="23" t="n">
        <v>1</v>
      </c>
      <c r="H382" s="24" t="n">
        <v>491.97</v>
      </c>
      <c r="I382" s="24" t="n">
        <v>491.97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0" t="n">
        <v>45483.4446875</v>
      </c>
      <c r="B383" s="2" t="s">
        <v>63</v>
      </c>
      <c r="C383" s="2" t="s">
        <v>744</v>
      </c>
      <c r="D383" s="2" t="s">
        <v>527</v>
      </c>
      <c r="E383" s="2" t="s">
        <v>18</v>
      </c>
      <c r="F383" s="2" t="s">
        <v>20</v>
      </c>
      <c r="G383" s="7" t="n">
        <v>50</v>
      </c>
      <c r="H383" s="6" t="n">
        <v>60.408</v>
      </c>
      <c r="I383" s="6" t="n">
        <v>-3020.4</v>
      </c>
      <c r="J383" s="6" t="n">
        <v>0</v>
      </c>
      <c r="K383" s="6" t="n">
        <v>-1.51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45483.460543981</v>
      </c>
      <c r="B384" s="26" t="s">
        <v>133</v>
      </c>
      <c r="C384" s="26" t="s">
        <v>656</v>
      </c>
      <c r="D384" s="26" t="s">
        <v>528</v>
      </c>
      <c r="E384" s="26" t="s">
        <v>124</v>
      </c>
      <c r="F384" s="26" t="s">
        <v>20</v>
      </c>
      <c r="G384" s="27" t="n">
        <v>-1770</v>
      </c>
      <c r="H384" s="28" t="n">
        <v>1.4314</v>
      </c>
      <c r="I384" s="28" t="n">
        <v>2533.58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0" t="n">
        <v>45484.563298611</v>
      </c>
      <c r="B385" s="2" t="s">
        <v>70</v>
      </c>
      <c r="C385" s="2" t="s">
        <v>743</v>
      </c>
      <c r="D385" s="2" t="s">
        <v>527</v>
      </c>
      <c r="E385" s="2" t="s">
        <v>18</v>
      </c>
      <c r="F385" s="2" t="s">
        <v>20</v>
      </c>
      <c r="G385" s="7" t="n">
        <v>10</v>
      </c>
      <c r="H385" s="6" t="n">
        <v>166.3</v>
      </c>
      <c r="I385" s="6" t="n">
        <v>-1663</v>
      </c>
      <c r="J385" s="6" t="n">
        <v>0</v>
      </c>
      <c r="K385" s="6" t="n">
        <v>-1.33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5" t="n">
        <v>45484.571087963</v>
      </c>
      <c r="B386" s="26" t="s">
        <v>133</v>
      </c>
      <c r="C386" s="26" t="s">
        <v>656</v>
      </c>
      <c r="D386" s="26" t="s">
        <v>528</v>
      </c>
      <c r="E386" s="26" t="s">
        <v>124</v>
      </c>
      <c r="F386" s="26" t="s">
        <v>20</v>
      </c>
      <c r="G386" s="27" t="n">
        <v>-1160</v>
      </c>
      <c r="H386" s="28" t="n">
        <v>1.4321</v>
      </c>
      <c r="I386" s="28" t="n">
        <v>1661.24</v>
      </c>
      <c r="J386" s="28" t="n">
        <v>0</v>
      </c>
      <c r="K386" s="28" t="n">
        <v>0</v>
      </c>
      <c r="L386" s="28" t="n">
        <v>0</v>
      </c>
      <c r="M386" s="6" t="s">
        <f>=I386+J386+K386+L386</f>
      </c>
      <c r="N386" s="28"/>
      <c r="O386" s="26"/>
    </row>
    <row collapsed="false" customFormat="false" customHeight="false" hidden="false" ht="12.1" outlineLevel="0" r="387">
      <c r="A387" s="21" t="n">
        <v>45488</v>
      </c>
      <c r="B387" s="22" t="s">
        <v>645</v>
      </c>
      <c r="C387" s="22" t="s">
        <v>257</v>
      </c>
      <c r="D387" s="22" t="s">
        <v>645</v>
      </c>
      <c r="E387" s="22" t="s">
        <v>645</v>
      </c>
      <c r="F387" s="22" t="s">
        <v>20</v>
      </c>
      <c r="G387" s="23" t="n">
        <v>3</v>
      </c>
      <c r="H387" s="24" t="n">
        <v>13093.243333333</v>
      </c>
      <c r="I387" s="24" t="n">
        <v>39279.73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2"/>
    </row>
    <row collapsed="false" customFormat="false" customHeight="false" hidden="false" ht="12.1" outlineLevel="0" r="388">
      <c r="A388" s="20" t="n">
        <v>45488.557465278</v>
      </c>
      <c r="B388" s="2" t="s">
        <v>136</v>
      </c>
      <c r="C388" s="2" t="s">
        <v>725</v>
      </c>
      <c r="D388" s="2" t="s">
        <v>527</v>
      </c>
      <c r="E388" s="2" t="s">
        <v>137</v>
      </c>
      <c r="F388" s="2" t="s">
        <v>20</v>
      </c>
      <c r="G388" s="7" t="n">
        <v>30</v>
      </c>
      <c r="H388" s="6" t="n">
        <v>52.02</v>
      </c>
      <c r="I388" s="6" t="n">
        <v>-15606</v>
      </c>
      <c r="J388" s="6" t="n">
        <v>-239.1</v>
      </c>
      <c r="K388" s="6" t="n">
        <v>-9.36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45488.558263889</v>
      </c>
      <c r="B389" s="2" t="s">
        <v>140</v>
      </c>
      <c r="C389" s="2" t="s">
        <v>724</v>
      </c>
      <c r="D389" s="2" t="s">
        <v>527</v>
      </c>
      <c r="E389" s="2" t="s">
        <v>137</v>
      </c>
      <c r="F389" s="2" t="s">
        <v>20</v>
      </c>
      <c r="G389" s="7" t="n">
        <v>30</v>
      </c>
      <c r="H389" s="6" t="n">
        <v>54.752</v>
      </c>
      <c r="I389" s="6" t="n">
        <v>-16425.6</v>
      </c>
      <c r="J389" s="6" t="n">
        <v>-880.2</v>
      </c>
      <c r="K389" s="6" t="n">
        <v>-9.87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45488.559143519</v>
      </c>
      <c r="B390" s="2" t="s">
        <v>233</v>
      </c>
      <c r="C390" s="2" t="s">
        <v>745</v>
      </c>
      <c r="D390" s="2" t="s">
        <v>527</v>
      </c>
      <c r="E390" s="2" t="s">
        <v>137</v>
      </c>
      <c r="F390" s="2" t="s">
        <v>20</v>
      </c>
      <c r="G390" s="7" t="n">
        <v>10</v>
      </c>
      <c r="H390" s="6" t="n">
        <v>91.4</v>
      </c>
      <c r="I390" s="6" t="n">
        <v>-6009.09</v>
      </c>
      <c r="J390" s="6" t="n">
        <v>-27.7</v>
      </c>
      <c r="K390" s="6" t="n">
        <v>-3.61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45489</v>
      </c>
      <c r="B391" s="22" t="s">
        <v>645</v>
      </c>
      <c r="C391" s="22" t="s">
        <v>257</v>
      </c>
      <c r="D391" s="22" t="s">
        <v>645</v>
      </c>
      <c r="E391" s="22" t="s">
        <v>645</v>
      </c>
      <c r="F391" s="22" t="s">
        <v>20</v>
      </c>
      <c r="G391" s="23" t="n">
        <v>1</v>
      </c>
      <c r="H391" s="24" t="n">
        <v>114.5</v>
      </c>
      <c r="I391" s="24" t="n">
        <v>114.5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2"/>
    </row>
    <row collapsed="false" customFormat="false" customHeight="false" hidden="false" ht="12.1" outlineLevel="0" r="392">
      <c r="A392" s="21" t="n">
        <v>45490</v>
      </c>
      <c r="B392" s="22" t="s">
        <v>645</v>
      </c>
      <c r="C392" s="22" t="s">
        <v>257</v>
      </c>
      <c r="D392" s="22" t="s">
        <v>645</v>
      </c>
      <c r="E392" s="22" t="s">
        <v>645</v>
      </c>
      <c r="F392" s="22" t="s">
        <v>20</v>
      </c>
      <c r="G392" s="23" t="n">
        <v>1</v>
      </c>
      <c r="H392" s="24" t="n">
        <v>2700</v>
      </c>
      <c r="I392" s="24" t="n">
        <v>2700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4"/>
      <c r="O392" s="22"/>
    </row>
    <row collapsed="false" customFormat="false" customHeight="false" hidden="false" ht="12.1" outlineLevel="0" r="393">
      <c r="A393" s="20" t="n">
        <v>45490.531678241</v>
      </c>
      <c r="B393" s="2" t="s">
        <v>68</v>
      </c>
      <c r="C393" s="2" t="s">
        <v>746</v>
      </c>
      <c r="D393" s="2" t="s">
        <v>527</v>
      </c>
      <c r="E393" s="2" t="s">
        <v>18</v>
      </c>
      <c r="F393" s="2" t="s">
        <v>20</v>
      </c>
      <c r="G393" s="7" t="n">
        <v>2</v>
      </c>
      <c r="H393" s="6" t="n">
        <v>1437.5</v>
      </c>
      <c r="I393" s="6" t="n">
        <v>-2875</v>
      </c>
      <c r="J393" s="6" t="n">
        <v>0</v>
      </c>
      <c r="K393" s="6" t="n">
        <v>-2.31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1" t="n">
        <v>45491</v>
      </c>
      <c r="B394" s="22" t="s">
        <v>645</v>
      </c>
      <c r="C394" s="22" t="s">
        <v>257</v>
      </c>
      <c r="D394" s="22" t="s">
        <v>645</v>
      </c>
      <c r="E394" s="22" t="s">
        <v>645</v>
      </c>
      <c r="F394" s="22" t="s">
        <v>20</v>
      </c>
      <c r="G394" s="23" t="n">
        <v>3</v>
      </c>
      <c r="H394" s="24" t="n">
        <v>2109.3766666667</v>
      </c>
      <c r="I394" s="24" t="n">
        <v>6328.13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0" t="n">
        <v>45491.510439815</v>
      </c>
      <c r="B395" s="2" t="s">
        <v>133</v>
      </c>
      <c r="C395" s="2" t="s">
        <v>656</v>
      </c>
      <c r="D395" s="2" t="s">
        <v>527</v>
      </c>
      <c r="E395" s="2" t="s">
        <v>124</v>
      </c>
      <c r="F395" s="2" t="s">
        <v>20</v>
      </c>
      <c r="G395" s="7" t="n">
        <v>255</v>
      </c>
      <c r="H395" s="6" t="n">
        <v>1.4367</v>
      </c>
      <c r="I395" s="6" t="n">
        <v>-366.36</v>
      </c>
      <c r="J395" s="6" t="n">
        <v>0</v>
      </c>
      <c r="K395" s="6" t="n">
        <v>0</v>
      </c>
      <c r="L395" s="6" t="n">
        <v>0</v>
      </c>
      <c r="M395" s="6" t="s">
        <f>=I395+J395+K395+L395</f>
      </c>
      <c r="N395" s="6"/>
      <c r="O395" s="2"/>
    </row>
    <row collapsed="false" customFormat="false" customHeight="false" hidden="false" ht="12.1" outlineLevel="0" r="396">
      <c r="A396" s="20" t="n">
        <v>45491.52150463</v>
      </c>
      <c r="B396" s="2" t="s">
        <v>78</v>
      </c>
      <c r="C396" s="2" t="s">
        <v>737</v>
      </c>
      <c r="D396" s="2" t="s">
        <v>527</v>
      </c>
      <c r="E396" s="2" t="s">
        <v>18</v>
      </c>
      <c r="F396" s="2" t="s">
        <v>20</v>
      </c>
      <c r="G396" s="7" t="n">
        <v>5</v>
      </c>
      <c r="H396" s="6" t="n">
        <v>249.44</v>
      </c>
      <c r="I396" s="6" t="n">
        <v>-1247.2</v>
      </c>
      <c r="J396" s="6" t="n">
        <v>0</v>
      </c>
      <c r="K396" s="6" t="n">
        <v>-0.99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0" t="n">
        <v>45491.523078704</v>
      </c>
      <c r="B397" s="2" t="s">
        <v>46</v>
      </c>
      <c r="C397" s="2" t="s">
        <v>710</v>
      </c>
      <c r="D397" s="2" t="s">
        <v>527</v>
      </c>
      <c r="E397" s="2" t="s">
        <v>18</v>
      </c>
      <c r="F397" s="2" t="s">
        <v>20</v>
      </c>
      <c r="G397" s="7" t="n">
        <v>5</v>
      </c>
      <c r="H397" s="6" t="n">
        <v>600.2</v>
      </c>
      <c r="I397" s="6" t="n">
        <v>-3001</v>
      </c>
      <c r="J397" s="6" t="n">
        <v>0</v>
      </c>
      <c r="K397" s="6" t="n">
        <v>-2.4</v>
      </c>
      <c r="L397" s="6" t="n">
        <v>0</v>
      </c>
      <c r="M397" s="6" t="s">
        <f>=I397+J397+K397+L397</f>
      </c>
      <c r="N397" s="6"/>
      <c r="O397" s="2"/>
    </row>
    <row collapsed="false" customFormat="false" customHeight="false" hidden="false" ht="12.1" outlineLevel="0" r="398">
      <c r="A398" s="20" t="n">
        <v>45491.527523148</v>
      </c>
      <c r="B398" s="2" t="s">
        <v>92</v>
      </c>
      <c r="C398" s="2" t="s">
        <v>729</v>
      </c>
      <c r="D398" s="2" t="s">
        <v>527</v>
      </c>
      <c r="E398" s="2" t="s">
        <v>18</v>
      </c>
      <c r="F398" s="2" t="s">
        <v>20</v>
      </c>
      <c r="G398" s="7" t="n">
        <v>2</v>
      </c>
      <c r="H398" s="6" t="n">
        <v>858.75</v>
      </c>
      <c r="I398" s="6" t="n">
        <v>-1717.5</v>
      </c>
      <c r="J398" s="6" t="n">
        <v>0</v>
      </c>
      <c r="K398" s="6" t="n">
        <v>-1.38</v>
      </c>
      <c r="L398" s="6" t="n">
        <v>0</v>
      </c>
      <c r="M398" s="6" t="s">
        <f>=I398+J398+K398+L398</f>
      </c>
      <c r="N398" s="6"/>
      <c r="O398" s="2"/>
    </row>
    <row collapsed="false" customFormat="false" customHeight="false" hidden="false" ht="12.1" outlineLevel="0" r="399">
      <c r="A399" s="21" t="n">
        <v>45492</v>
      </c>
      <c r="B399" s="22" t="s">
        <v>645</v>
      </c>
      <c r="C399" s="22" t="s">
        <v>257</v>
      </c>
      <c r="D399" s="22" t="s">
        <v>645</v>
      </c>
      <c r="E399" s="22" t="s">
        <v>645</v>
      </c>
      <c r="F399" s="22" t="s">
        <v>20</v>
      </c>
      <c r="G399" s="23" t="n">
        <v>1</v>
      </c>
      <c r="H399" s="24" t="n">
        <v>20.67</v>
      </c>
      <c r="I399" s="24" t="n">
        <v>20.67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0" t="n">
        <v>45492.576006944</v>
      </c>
      <c r="B400" s="2" t="s">
        <v>538</v>
      </c>
      <c r="C400" s="2" t="s">
        <v>673</v>
      </c>
      <c r="D400" s="2" t="s">
        <v>527</v>
      </c>
      <c r="E400" s="2" t="s">
        <v>18</v>
      </c>
      <c r="F400" s="2" t="s">
        <v>20</v>
      </c>
      <c r="G400" s="7" t="n">
        <v>5</v>
      </c>
      <c r="H400" s="6" t="n">
        <v>117.7</v>
      </c>
      <c r="I400" s="6" t="n">
        <v>-588.5</v>
      </c>
      <c r="J400" s="6" t="n">
        <v>0</v>
      </c>
      <c r="K400" s="6" t="n">
        <v>-0.3</v>
      </c>
      <c r="L400" s="6" t="n">
        <v>0</v>
      </c>
      <c r="M400" s="6" t="s">
        <f>=I400+J400+K400+L400</f>
      </c>
      <c r="N400" s="6"/>
      <c r="O400" s="2"/>
    </row>
    <row collapsed="false" customFormat="false" customHeight="false" hidden="false" ht="12.1" outlineLevel="0" r="401">
      <c r="A401" s="25" t="n">
        <v>45492.577256944</v>
      </c>
      <c r="B401" s="26" t="s">
        <v>133</v>
      </c>
      <c r="C401" s="26" t="s">
        <v>656</v>
      </c>
      <c r="D401" s="26" t="s">
        <v>528</v>
      </c>
      <c r="E401" s="26" t="s">
        <v>124</v>
      </c>
      <c r="F401" s="26" t="s">
        <v>20</v>
      </c>
      <c r="G401" s="27" t="n">
        <v>-410</v>
      </c>
      <c r="H401" s="28" t="n">
        <v>1.4384</v>
      </c>
      <c r="I401" s="28" t="n">
        <v>589.74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6"/>
    </row>
    <row collapsed="false" customFormat="false" customHeight="false" hidden="false" ht="12.1" outlineLevel="0" r="402">
      <c r="A402" s="21" t="n">
        <v>45494</v>
      </c>
      <c r="B402" s="22" t="s">
        <v>645</v>
      </c>
      <c r="C402" s="22" t="s">
        <v>257</v>
      </c>
      <c r="D402" s="22" t="s">
        <v>645</v>
      </c>
      <c r="E402" s="22" t="s">
        <v>645</v>
      </c>
      <c r="F402" s="22" t="s">
        <v>20</v>
      </c>
      <c r="G402" s="23" t="n">
        <v>1</v>
      </c>
      <c r="H402" s="24" t="n">
        <v>161.39</v>
      </c>
      <c r="I402" s="24" t="n">
        <v>161.39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4"/>
      <c r="O402" s="22"/>
    </row>
    <row collapsed="false" customFormat="false" customHeight="false" hidden="false" ht="12.1" outlineLevel="0" r="403">
      <c r="A403" s="21" t="n">
        <v>45495</v>
      </c>
      <c r="B403" s="22" t="s">
        <v>645</v>
      </c>
      <c r="C403" s="22" t="s">
        <v>257</v>
      </c>
      <c r="D403" s="22" t="s">
        <v>645</v>
      </c>
      <c r="E403" s="22" t="s">
        <v>645</v>
      </c>
      <c r="F403" s="22" t="s">
        <v>20</v>
      </c>
      <c r="G403" s="23" t="n">
        <v>1</v>
      </c>
      <c r="H403" s="24" t="n">
        <v>7200</v>
      </c>
      <c r="I403" s="24" t="n">
        <v>7200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4"/>
      <c r="O403" s="22"/>
    </row>
    <row collapsed="false" customFormat="false" customHeight="false" hidden="false" ht="12.1" outlineLevel="0" r="404">
      <c r="A404" s="20" t="n">
        <v>45495.4525</v>
      </c>
      <c r="B404" s="2" t="s">
        <v>28</v>
      </c>
      <c r="C404" s="2" t="s">
        <v>747</v>
      </c>
      <c r="D404" s="2" t="s">
        <v>527</v>
      </c>
      <c r="E404" s="2" t="s">
        <v>18</v>
      </c>
      <c r="F404" s="2" t="s">
        <v>20</v>
      </c>
      <c r="G404" s="7" t="n">
        <v>200</v>
      </c>
      <c r="H404" s="6" t="n">
        <v>15.57</v>
      </c>
      <c r="I404" s="6" t="n">
        <v>-3114</v>
      </c>
      <c r="J404" s="6" t="n">
        <v>0</v>
      </c>
      <c r="K404" s="6" t="n">
        <v>-2.5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45495.454768519</v>
      </c>
      <c r="B405" s="2" t="s">
        <v>200</v>
      </c>
      <c r="C405" s="2" t="s">
        <v>748</v>
      </c>
      <c r="D405" s="2" t="s">
        <v>527</v>
      </c>
      <c r="E405" s="2" t="s">
        <v>137</v>
      </c>
      <c r="F405" s="2" t="s">
        <v>20</v>
      </c>
      <c r="G405" s="7" t="n">
        <v>5</v>
      </c>
      <c r="H405" s="6" t="n">
        <v>82.56</v>
      </c>
      <c r="I405" s="6" t="n">
        <v>-4128</v>
      </c>
      <c r="J405" s="6" t="n">
        <v>-75.5</v>
      </c>
      <c r="K405" s="6" t="n">
        <v>-2.41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1" t="n">
        <v>45496</v>
      </c>
      <c r="B406" s="22" t="s">
        <v>645</v>
      </c>
      <c r="C406" s="22" t="s">
        <v>257</v>
      </c>
      <c r="D406" s="22" t="s">
        <v>645</v>
      </c>
      <c r="E406" s="22" t="s">
        <v>645</v>
      </c>
      <c r="F406" s="22" t="s">
        <v>20</v>
      </c>
      <c r="G406" s="23" t="n">
        <v>2</v>
      </c>
      <c r="H406" s="24" t="n">
        <v>12720</v>
      </c>
      <c r="I406" s="24" t="n">
        <v>25440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4"/>
      <c r="O406" s="22"/>
    </row>
    <row collapsed="false" customFormat="false" customHeight="false" hidden="false" ht="12.1" outlineLevel="0" r="407">
      <c r="A407" s="20" t="n">
        <v>45496.607407407</v>
      </c>
      <c r="B407" s="2" t="s">
        <v>173</v>
      </c>
      <c r="C407" s="2" t="s">
        <v>732</v>
      </c>
      <c r="D407" s="2" t="s">
        <v>527</v>
      </c>
      <c r="E407" s="2" t="s">
        <v>137</v>
      </c>
      <c r="F407" s="2" t="s">
        <v>20</v>
      </c>
      <c r="G407" s="7" t="n">
        <v>10</v>
      </c>
      <c r="H407" s="6" t="n">
        <v>69.86</v>
      </c>
      <c r="I407" s="6" t="n">
        <v>-6986</v>
      </c>
      <c r="J407" s="6" t="n">
        <v>-78.4</v>
      </c>
      <c r="K407" s="6" t="n">
        <v>-4.08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45496.608981481</v>
      </c>
      <c r="B408" s="2" t="s">
        <v>170</v>
      </c>
      <c r="C408" s="2" t="s">
        <v>722</v>
      </c>
      <c r="D408" s="2" t="s">
        <v>527</v>
      </c>
      <c r="E408" s="2" t="s">
        <v>137</v>
      </c>
      <c r="F408" s="2" t="s">
        <v>20</v>
      </c>
      <c r="G408" s="7" t="n">
        <v>9</v>
      </c>
      <c r="H408" s="6" t="n">
        <v>87.82</v>
      </c>
      <c r="I408" s="6" t="n">
        <v>-7903.8</v>
      </c>
      <c r="J408" s="6" t="n">
        <v>-200.43</v>
      </c>
      <c r="K408" s="6" t="n">
        <v>-4.61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45496.609814815</v>
      </c>
      <c r="B409" s="2" t="s">
        <v>155</v>
      </c>
      <c r="C409" s="2" t="s">
        <v>691</v>
      </c>
      <c r="D409" s="2" t="s">
        <v>527</v>
      </c>
      <c r="E409" s="2" t="s">
        <v>137</v>
      </c>
      <c r="F409" s="2" t="s">
        <v>20</v>
      </c>
      <c r="G409" s="7" t="n">
        <v>5</v>
      </c>
      <c r="H409" s="6" t="n">
        <v>88.63</v>
      </c>
      <c r="I409" s="6" t="n">
        <v>-4431.5</v>
      </c>
      <c r="J409" s="6" t="n">
        <v>-50.3</v>
      </c>
      <c r="K409" s="6" t="n">
        <v>-2.6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45496.611666667</v>
      </c>
      <c r="B410" s="2" t="s">
        <v>188</v>
      </c>
      <c r="C410" s="2" t="s">
        <v>690</v>
      </c>
      <c r="D410" s="2" t="s">
        <v>527</v>
      </c>
      <c r="E410" s="2" t="s">
        <v>137</v>
      </c>
      <c r="F410" s="2" t="s">
        <v>20</v>
      </c>
      <c r="G410" s="7" t="n">
        <v>3</v>
      </c>
      <c r="H410" s="6" t="n">
        <v>89.62</v>
      </c>
      <c r="I410" s="6" t="n">
        <v>-2688.6</v>
      </c>
      <c r="J410" s="6" t="n">
        <v>-22.53</v>
      </c>
      <c r="K410" s="6" t="n">
        <v>-1.57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45496.625902778</v>
      </c>
      <c r="B411" s="2" t="s">
        <v>158</v>
      </c>
      <c r="C411" s="2" t="s">
        <v>702</v>
      </c>
      <c r="D411" s="2" t="s">
        <v>527</v>
      </c>
      <c r="E411" s="2" t="s">
        <v>137</v>
      </c>
      <c r="F411" s="2" t="s">
        <v>20</v>
      </c>
      <c r="G411" s="7" t="n">
        <v>3</v>
      </c>
      <c r="H411" s="6" t="n">
        <v>71</v>
      </c>
      <c r="I411" s="6" t="n">
        <v>-2130</v>
      </c>
      <c r="J411" s="6" t="n">
        <v>-69.39</v>
      </c>
      <c r="K411" s="6" t="n">
        <v>-1.25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45496.626979167</v>
      </c>
      <c r="B412" s="2" t="s">
        <v>203</v>
      </c>
      <c r="C412" s="2" t="s">
        <v>704</v>
      </c>
      <c r="D412" s="2" t="s">
        <v>527</v>
      </c>
      <c r="E412" s="2" t="s">
        <v>137</v>
      </c>
      <c r="F412" s="2" t="s">
        <v>20</v>
      </c>
      <c r="G412" s="7" t="n">
        <v>1</v>
      </c>
      <c r="H412" s="6" t="n">
        <v>90.97</v>
      </c>
      <c r="I412" s="6" t="n">
        <v>-909.7</v>
      </c>
      <c r="J412" s="6" t="n">
        <v>-23.65</v>
      </c>
      <c r="K412" s="6" t="n">
        <v>-0.52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1" t="n">
        <v>45497</v>
      </c>
      <c r="B413" s="22" t="s">
        <v>645</v>
      </c>
      <c r="C413" s="22" t="s">
        <v>257</v>
      </c>
      <c r="D413" s="22" t="s">
        <v>645</v>
      </c>
      <c r="E413" s="22" t="s">
        <v>645</v>
      </c>
      <c r="F413" s="22" t="s">
        <v>20</v>
      </c>
      <c r="G413" s="23" t="n">
        <v>1</v>
      </c>
      <c r="H413" s="24" t="n">
        <v>10</v>
      </c>
      <c r="I413" s="24" t="n">
        <v>10</v>
      </c>
      <c r="J413" s="24" t="n">
        <v>0</v>
      </c>
      <c r="K413" s="24" t="n">
        <v>0</v>
      </c>
      <c r="L413" s="24" t="n">
        <v>0</v>
      </c>
      <c r="M413" s="6" t="s">
        <f>=I413+J413+K413+L413</f>
      </c>
      <c r="N413" s="24"/>
      <c r="O413" s="22"/>
    </row>
    <row collapsed="false" customFormat="false" customHeight="false" hidden="false" ht="12.1" outlineLevel="0" r="414">
      <c r="A414" s="25" t="n">
        <v>45499.86400463</v>
      </c>
      <c r="B414" s="26" t="s">
        <v>538</v>
      </c>
      <c r="C414" s="26" t="s">
        <v>673</v>
      </c>
      <c r="D414" s="26" t="s">
        <v>528</v>
      </c>
      <c r="E414" s="26" t="s">
        <v>18</v>
      </c>
      <c r="F414" s="26" t="s">
        <v>20</v>
      </c>
      <c r="G414" s="27" t="n">
        <v>-5</v>
      </c>
      <c r="H414" s="28" t="n">
        <v>136</v>
      </c>
      <c r="I414" s="28" t="n">
        <v>680</v>
      </c>
      <c r="J414" s="28" t="n">
        <v>0</v>
      </c>
      <c r="K414" s="28" t="n">
        <v>-0.55</v>
      </c>
      <c r="L414" s="28" t="n">
        <v>0</v>
      </c>
      <c r="M414" s="6" t="s">
        <f>=I414+J414+K414+L414</f>
      </c>
      <c r="N414" s="28"/>
      <c r="O414" s="26"/>
    </row>
    <row collapsed="false" customFormat="false" customHeight="false" hidden="false" ht="12.1" outlineLevel="0" r="415">
      <c r="A415" s="20" t="n">
        <v>45499.872488426</v>
      </c>
      <c r="B415" s="2" t="s">
        <v>133</v>
      </c>
      <c r="C415" s="2" t="s">
        <v>656</v>
      </c>
      <c r="D415" s="2" t="s">
        <v>527</v>
      </c>
      <c r="E415" s="2" t="s">
        <v>124</v>
      </c>
      <c r="F415" s="2" t="s">
        <v>20</v>
      </c>
      <c r="G415" s="7" t="n">
        <v>470</v>
      </c>
      <c r="H415" s="6" t="n">
        <v>1.4425</v>
      </c>
      <c r="I415" s="6" t="n">
        <v>-677.98</v>
      </c>
      <c r="J415" s="6" t="n">
        <v>0</v>
      </c>
      <c r="K415" s="6" t="n">
        <v>0</v>
      </c>
      <c r="L415" s="6" t="n">
        <v>0</v>
      </c>
      <c r="M415" s="6" t="s">
        <f>=I415+J415+K415+L415</f>
      </c>
      <c r="N415" s="6"/>
      <c r="O415" s="2"/>
    </row>
    <row collapsed="false" customFormat="false" customHeight="false" hidden="false" ht="12.1" outlineLevel="0" r="416">
      <c r="A416" s="21" t="n">
        <v>45503</v>
      </c>
      <c r="B416" s="22" t="s">
        <v>645</v>
      </c>
      <c r="C416" s="22" t="s">
        <v>257</v>
      </c>
      <c r="D416" s="22" t="s">
        <v>645</v>
      </c>
      <c r="E416" s="22" t="s">
        <v>645</v>
      </c>
      <c r="F416" s="22" t="s">
        <v>20</v>
      </c>
      <c r="G416" s="23" t="n">
        <v>1</v>
      </c>
      <c r="H416" s="24" t="n">
        <v>4150</v>
      </c>
      <c r="I416" s="24" t="n">
        <v>4150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4"/>
      <c r="O416" s="22"/>
    </row>
    <row collapsed="false" customFormat="false" customHeight="false" hidden="false" ht="12.1" outlineLevel="0" r="417">
      <c r="A417" s="20" t="n">
        <v>45503.46087963</v>
      </c>
      <c r="B417" s="2" t="s">
        <v>17</v>
      </c>
      <c r="C417" s="2" t="s">
        <v>646</v>
      </c>
      <c r="D417" s="2" t="s">
        <v>527</v>
      </c>
      <c r="E417" s="2" t="s">
        <v>18</v>
      </c>
      <c r="F417" s="2" t="s">
        <v>20</v>
      </c>
      <c r="G417" s="7" t="n">
        <v>10</v>
      </c>
      <c r="H417" s="6" t="n">
        <v>506.45</v>
      </c>
      <c r="I417" s="6" t="n">
        <v>-5064.5</v>
      </c>
      <c r="J417" s="6" t="n">
        <v>0</v>
      </c>
      <c r="K417" s="6" t="n">
        <v>-4.05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5" t="n">
        <v>45503.46150463</v>
      </c>
      <c r="B418" s="26" t="s">
        <v>133</v>
      </c>
      <c r="C418" s="26" t="s">
        <v>656</v>
      </c>
      <c r="D418" s="26" t="s">
        <v>528</v>
      </c>
      <c r="E418" s="26" t="s">
        <v>124</v>
      </c>
      <c r="F418" s="26" t="s">
        <v>20</v>
      </c>
      <c r="G418" s="27" t="n">
        <v>-670</v>
      </c>
      <c r="H418" s="28" t="n">
        <v>1.4439</v>
      </c>
      <c r="I418" s="28" t="n">
        <v>967.41</v>
      </c>
      <c r="J418" s="28" t="n">
        <v>0</v>
      </c>
      <c r="K418" s="28" t="n">
        <v>0</v>
      </c>
      <c r="L418" s="28" t="n">
        <v>0</v>
      </c>
      <c r="M418" s="6" t="s">
        <f>=I418+J418+K418+L418</f>
      </c>
      <c r="N418" s="28"/>
      <c r="O418" s="26"/>
    </row>
    <row collapsed="false" customFormat="false" customHeight="false" hidden="false" ht="12.1" outlineLevel="0" r="419">
      <c r="A419" s="21" t="n">
        <v>45505</v>
      </c>
      <c r="B419" s="22" t="s">
        <v>720</v>
      </c>
      <c r="C419" s="22" t="s">
        <v>749</v>
      </c>
      <c r="D419" s="22" t="s">
        <v>720</v>
      </c>
      <c r="E419" s="22" t="s">
        <v>720</v>
      </c>
      <c r="F419" s="22" t="s">
        <v>20</v>
      </c>
      <c r="G419" s="23" t="n">
        <v>1</v>
      </c>
      <c r="H419" s="24" t="n">
        <v>353.5</v>
      </c>
      <c r="I419" s="24" t="n">
        <v>353.5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1" t="n">
        <v>45505</v>
      </c>
      <c r="B420" s="22" t="s">
        <v>645</v>
      </c>
      <c r="C420" s="22" t="s">
        <v>257</v>
      </c>
      <c r="D420" s="22" t="s">
        <v>645</v>
      </c>
      <c r="E420" s="22" t="s">
        <v>645</v>
      </c>
      <c r="F420" s="22" t="s">
        <v>20</v>
      </c>
      <c r="G420" s="23" t="n">
        <v>1</v>
      </c>
      <c r="H420" s="24" t="n">
        <v>30</v>
      </c>
      <c r="I420" s="24" t="n">
        <v>30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4"/>
      <c r="O420" s="22"/>
    </row>
    <row collapsed="false" customFormat="false" customHeight="false" hidden="false" ht="12.1" outlineLevel="0" r="421">
      <c r="A421" s="20" t="n">
        <v>45505.67369213</v>
      </c>
      <c r="B421" s="2" t="s">
        <v>126</v>
      </c>
      <c r="C421" s="2" t="s">
        <v>709</v>
      </c>
      <c r="D421" s="2" t="s">
        <v>527</v>
      </c>
      <c r="E421" s="2" t="s">
        <v>124</v>
      </c>
      <c r="F421" s="2" t="s">
        <v>20</v>
      </c>
      <c r="G421" s="7" t="n">
        <v>3</v>
      </c>
      <c r="H421" s="6" t="n">
        <v>143.18</v>
      </c>
      <c r="I421" s="6" t="n">
        <v>-429.54</v>
      </c>
      <c r="J421" s="6" t="n">
        <v>0</v>
      </c>
      <c r="K421" s="6" t="n">
        <v>-0.13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1" t="n">
        <v>45506</v>
      </c>
      <c r="B422" s="22" t="s">
        <v>645</v>
      </c>
      <c r="C422" s="22" t="s">
        <v>257</v>
      </c>
      <c r="D422" s="22" t="s">
        <v>645</v>
      </c>
      <c r="E422" s="22" t="s">
        <v>645</v>
      </c>
      <c r="F422" s="22" t="s">
        <v>20</v>
      </c>
      <c r="G422" s="23" t="n">
        <v>2</v>
      </c>
      <c r="H422" s="24" t="n">
        <v>235</v>
      </c>
      <c r="I422" s="24" t="n">
        <v>470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4"/>
      <c r="O422" s="22"/>
    </row>
    <row collapsed="false" customFormat="false" customHeight="false" hidden="false" ht="12.1" outlineLevel="0" r="423">
      <c r="A423" s="21" t="n">
        <v>45506</v>
      </c>
      <c r="B423" s="22" t="s">
        <v>720</v>
      </c>
      <c r="C423" s="22" t="s">
        <v>750</v>
      </c>
      <c r="D423" s="22" t="s">
        <v>720</v>
      </c>
      <c r="E423" s="22" t="s">
        <v>720</v>
      </c>
      <c r="F423" s="22" t="s">
        <v>20</v>
      </c>
      <c r="G423" s="23" t="n">
        <v>1</v>
      </c>
      <c r="H423" s="24" t="n">
        <v>412.5</v>
      </c>
      <c r="I423" s="24" t="n">
        <v>412.5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4"/>
      <c r="O423" s="22"/>
    </row>
    <row collapsed="false" customFormat="false" customHeight="false" hidden="false" ht="12.1" outlineLevel="0" r="424">
      <c r="A424" s="20" t="n">
        <v>45506.528935185</v>
      </c>
      <c r="B424" s="2" t="s">
        <v>112</v>
      </c>
      <c r="C424" s="2" t="s">
        <v>751</v>
      </c>
      <c r="D424" s="2" t="s">
        <v>527</v>
      </c>
      <c r="E424" s="2" t="s">
        <v>18</v>
      </c>
      <c r="F424" s="2" t="s">
        <v>20</v>
      </c>
      <c r="G424" s="7" t="n">
        <v>2</v>
      </c>
      <c r="H424" s="6" t="n">
        <v>227.97</v>
      </c>
      <c r="I424" s="6" t="n">
        <v>-455.94</v>
      </c>
      <c r="J424" s="6" t="n">
        <v>0</v>
      </c>
      <c r="K424" s="6" t="n">
        <v>-0.37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45506.692164352</v>
      </c>
      <c r="B425" s="2" t="s">
        <v>126</v>
      </c>
      <c r="C425" s="2" t="s">
        <v>709</v>
      </c>
      <c r="D425" s="2" t="s">
        <v>527</v>
      </c>
      <c r="E425" s="2" t="s">
        <v>124</v>
      </c>
      <c r="F425" s="2" t="s">
        <v>20</v>
      </c>
      <c r="G425" s="7" t="n">
        <v>3</v>
      </c>
      <c r="H425" s="6" t="n">
        <v>142.96</v>
      </c>
      <c r="I425" s="6" t="n">
        <v>-428.88</v>
      </c>
      <c r="J425" s="6" t="n">
        <v>0</v>
      </c>
      <c r="K425" s="6" t="n">
        <v>-0.13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1" t="n">
        <v>45509</v>
      </c>
      <c r="B426" s="22" t="s">
        <v>645</v>
      </c>
      <c r="C426" s="22" t="s">
        <v>257</v>
      </c>
      <c r="D426" s="22" t="s">
        <v>645</v>
      </c>
      <c r="E426" s="22" t="s">
        <v>645</v>
      </c>
      <c r="F426" s="22" t="s">
        <v>20</v>
      </c>
      <c r="G426" s="23" t="n">
        <v>1</v>
      </c>
      <c r="H426" s="24" t="n">
        <v>55000</v>
      </c>
      <c r="I426" s="24" t="n">
        <v>55000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4"/>
      <c r="O426" s="22"/>
    </row>
    <row collapsed="false" customFormat="false" customHeight="false" hidden="false" ht="12.1" outlineLevel="0" r="427">
      <c r="A427" s="20" t="n">
        <v>45509.422916667</v>
      </c>
      <c r="B427" s="2" t="s">
        <v>143</v>
      </c>
      <c r="C427" s="2" t="s">
        <v>752</v>
      </c>
      <c r="D427" s="2" t="s">
        <v>527</v>
      </c>
      <c r="E427" s="2" t="s">
        <v>137</v>
      </c>
      <c r="F427" s="2" t="s">
        <v>20</v>
      </c>
      <c r="G427" s="7" t="n">
        <v>47</v>
      </c>
      <c r="H427" s="6" t="n">
        <v>68.591340425532</v>
      </c>
      <c r="I427" s="6" t="n">
        <v>-32237.93</v>
      </c>
      <c r="J427" s="6" t="n">
        <v>-782.55</v>
      </c>
      <c r="K427" s="6" t="n">
        <v>-20.95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45509.423680556</v>
      </c>
      <c r="B428" s="2" t="s">
        <v>185</v>
      </c>
      <c r="C428" s="2" t="s">
        <v>753</v>
      </c>
      <c r="D428" s="2" t="s">
        <v>527</v>
      </c>
      <c r="E428" s="2" t="s">
        <v>137</v>
      </c>
      <c r="F428" s="2" t="s">
        <v>20</v>
      </c>
      <c r="G428" s="7" t="n">
        <v>10</v>
      </c>
      <c r="H428" s="6" t="n">
        <v>72.3341</v>
      </c>
      <c r="I428" s="6" t="n">
        <v>-7233.41</v>
      </c>
      <c r="J428" s="6" t="n">
        <v>-118.7</v>
      </c>
      <c r="K428" s="6" t="n">
        <v>-4.7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45509.426122685</v>
      </c>
      <c r="B429" s="2" t="s">
        <v>188</v>
      </c>
      <c r="C429" s="2" t="s">
        <v>690</v>
      </c>
      <c r="D429" s="2" t="s">
        <v>527</v>
      </c>
      <c r="E429" s="2" t="s">
        <v>137</v>
      </c>
      <c r="F429" s="2" t="s">
        <v>20</v>
      </c>
      <c r="G429" s="7" t="n">
        <v>3</v>
      </c>
      <c r="H429" s="6" t="n">
        <v>91.57</v>
      </c>
      <c r="I429" s="6" t="n">
        <v>-2747.1</v>
      </c>
      <c r="J429" s="6" t="n">
        <v>-3.39</v>
      </c>
      <c r="K429" s="6" t="n">
        <v>-1.79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45509.429409722</v>
      </c>
      <c r="B430" s="2" t="s">
        <v>173</v>
      </c>
      <c r="C430" s="2" t="s">
        <v>732</v>
      </c>
      <c r="D430" s="2" t="s">
        <v>527</v>
      </c>
      <c r="E430" s="2" t="s">
        <v>137</v>
      </c>
      <c r="F430" s="2" t="s">
        <v>20</v>
      </c>
      <c r="G430" s="7" t="n">
        <v>3</v>
      </c>
      <c r="H430" s="6" t="n">
        <v>68.853333333333</v>
      </c>
      <c r="I430" s="6" t="n">
        <v>-2065.6</v>
      </c>
      <c r="J430" s="6" t="n">
        <v>-31.14</v>
      </c>
      <c r="K430" s="6" t="n">
        <v>-1.34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45509.430717593</v>
      </c>
      <c r="B431" s="2" t="s">
        <v>28</v>
      </c>
      <c r="C431" s="2" t="s">
        <v>747</v>
      </c>
      <c r="D431" s="2" t="s">
        <v>527</v>
      </c>
      <c r="E431" s="2" t="s">
        <v>18</v>
      </c>
      <c r="F431" s="2" t="s">
        <v>20</v>
      </c>
      <c r="G431" s="7" t="n">
        <v>300</v>
      </c>
      <c r="H431" s="6" t="n">
        <v>14.19</v>
      </c>
      <c r="I431" s="6" t="n">
        <v>-4257</v>
      </c>
      <c r="J431" s="6" t="n">
        <v>0</v>
      </c>
      <c r="K431" s="6" t="n">
        <v>-3.4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45509.440833333</v>
      </c>
      <c r="B432" s="2" t="s">
        <v>209</v>
      </c>
      <c r="C432" s="2" t="s">
        <v>694</v>
      </c>
      <c r="D432" s="2" t="s">
        <v>527</v>
      </c>
      <c r="E432" s="2" t="s">
        <v>137</v>
      </c>
      <c r="F432" s="2" t="s">
        <v>20</v>
      </c>
      <c r="G432" s="7" t="n">
        <v>2</v>
      </c>
      <c r="H432" s="6" t="n">
        <v>94.5</v>
      </c>
      <c r="I432" s="6" t="n">
        <v>-1890</v>
      </c>
      <c r="J432" s="6" t="n">
        <v>-11.84</v>
      </c>
      <c r="K432" s="6" t="n">
        <v>-1.23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45509.483680556</v>
      </c>
      <c r="B433" s="2" t="s">
        <v>182</v>
      </c>
      <c r="C433" s="2" t="s">
        <v>731</v>
      </c>
      <c r="D433" s="2" t="s">
        <v>527</v>
      </c>
      <c r="E433" s="2" t="s">
        <v>137</v>
      </c>
      <c r="F433" s="2" t="s">
        <v>20</v>
      </c>
      <c r="G433" s="7" t="n">
        <v>5</v>
      </c>
      <c r="H433" s="6" t="n">
        <v>67.7</v>
      </c>
      <c r="I433" s="6" t="n">
        <v>-3385</v>
      </c>
      <c r="J433" s="6" t="n">
        <v>-11.1</v>
      </c>
      <c r="K433" s="6" t="n">
        <v>-2.19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45509.485532407</v>
      </c>
      <c r="B434" s="2" t="s">
        <v>126</v>
      </c>
      <c r="C434" s="2" t="s">
        <v>709</v>
      </c>
      <c r="D434" s="2" t="s">
        <v>527</v>
      </c>
      <c r="E434" s="2" t="s">
        <v>124</v>
      </c>
      <c r="F434" s="2" t="s">
        <v>20</v>
      </c>
      <c r="G434" s="7" t="n">
        <v>1</v>
      </c>
      <c r="H434" s="6" t="n">
        <v>143.48</v>
      </c>
      <c r="I434" s="6" t="n">
        <v>-143.48</v>
      </c>
      <c r="J434" s="6" t="n">
        <v>0</v>
      </c>
      <c r="K434" s="6" t="n">
        <v>-0.04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5" t="n">
        <v>45517.875046296</v>
      </c>
      <c r="B435" s="26" t="s">
        <v>112</v>
      </c>
      <c r="C435" s="26" t="s">
        <v>751</v>
      </c>
      <c r="D435" s="26" t="s">
        <v>528</v>
      </c>
      <c r="E435" s="26" t="s">
        <v>18</v>
      </c>
      <c r="F435" s="26" t="s">
        <v>20</v>
      </c>
      <c r="G435" s="27" t="n">
        <v>-2</v>
      </c>
      <c r="H435" s="28" t="n">
        <v>264.06</v>
      </c>
      <c r="I435" s="28" t="n">
        <v>528.12</v>
      </c>
      <c r="J435" s="28" t="n">
        <v>0</v>
      </c>
      <c r="K435" s="28" t="n">
        <v>-0.42</v>
      </c>
      <c r="L435" s="28" t="n">
        <v>0</v>
      </c>
      <c r="M435" s="6" t="s">
        <f>=I435+J435+K435+L435</f>
      </c>
      <c r="N435" s="28"/>
      <c r="O435" s="26"/>
    </row>
    <row collapsed="false" customFormat="false" customHeight="false" hidden="false" ht="12.1" outlineLevel="0" r="436">
      <c r="A436" s="20" t="n">
        <v>45517.877847222</v>
      </c>
      <c r="B436" s="2" t="s">
        <v>133</v>
      </c>
      <c r="C436" s="2" t="s">
        <v>656</v>
      </c>
      <c r="D436" s="2" t="s">
        <v>527</v>
      </c>
      <c r="E436" s="2" t="s">
        <v>124</v>
      </c>
      <c r="F436" s="2" t="s">
        <v>20</v>
      </c>
      <c r="G436" s="7" t="n">
        <v>390</v>
      </c>
      <c r="H436" s="6" t="n">
        <v>1.4533</v>
      </c>
      <c r="I436" s="6" t="n">
        <v>-566.79</v>
      </c>
      <c r="J436" s="6" t="n">
        <v>0</v>
      </c>
      <c r="K436" s="6" t="n">
        <v>0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45526</v>
      </c>
      <c r="B437" s="22" t="s">
        <v>645</v>
      </c>
      <c r="C437" s="22" t="s">
        <v>257</v>
      </c>
      <c r="D437" s="22" t="s">
        <v>645</v>
      </c>
      <c r="E437" s="22" t="s">
        <v>645</v>
      </c>
      <c r="F437" s="22" t="s">
        <v>20</v>
      </c>
      <c r="G437" s="23" t="n">
        <v>1</v>
      </c>
      <c r="H437" s="24" t="n">
        <v>690</v>
      </c>
      <c r="I437" s="24" t="n">
        <v>690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0" t="n">
        <v>45526.499444444</v>
      </c>
      <c r="B438" s="2" t="s">
        <v>126</v>
      </c>
      <c r="C438" s="2" t="s">
        <v>709</v>
      </c>
      <c r="D438" s="2" t="s">
        <v>527</v>
      </c>
      <c r="E438" s="2" t="s">
        <v>124</v>
      </c>
      <c r="F438" s="2" t="s">
        <v>20</v>
      </c>
      <c r="G438" s="7" t="n">
        <v>4</v>
      </c>
      <c r="H438" s="6" t="n">
        <v>143.86</v>
      </c>
      <c r="I438" s="6" t="n">
        <v>-575.44</v>
      </c>
      <c r="J438" s="6" t="n">
        <v>0</v>
      </c>
      <c r="K438" s="6" t="n">
        <v>-0.17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45526.816678241</v>
      </c>
      <c r="B439" s="2" t="s">
        <v>112</v>
      </c>
      <c r="C439" s="2" t="s">
        <v>751</v>
      </c>
      <c r="D439" s="2" t="s">
        <v>527</v>
      </c>
      <c r="E439" s="2" t="s">
        <v>18</v>
      </c>
      <c r="F439" s="2" t="s">
        <v>20</v>
      </c>
      <c r="G439" s="7" t="n">
        <v>3</v>
      </c>
      <c r="H439" s="6" t="n">
        <v>220.68666666667</v>
      </c>
      <c r="I439" s="6" t="n">
        <v>-662.06</v>
      </c>
      <c r="J439" s="6" t="n">
        <v>0</v>
      </c>
      <c r="K439" s="6" t="n">
        <v>-0.54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5" t="n">
        <v>45526.817800926</v>
      </c>
      <c r="B440" s="26" t="s">
        <v>133</v>
      </c>
      <c r="C440" s="26" t="s">
        <v>656</v>
      </c>
      <c r="D440" s="26" t="s">
        <v>528</v>
      </c>
      <c r="E440" s="26" t="s">
        <v>124</v>
      </c>
      <c r="F440" s="26" t="s">
        <v>20</v>
      </c>
      <c r="G440" s="27" t="n">
        <v>-370</v>
      </c>
      <c r="H440" s="28" t="n">
        <v>1.4596</v>
      </c>
      <c r="I440" s="28" t="n">
        <v>540.05</v>
      </c>
      <c r="J440" s="28" t="n">
        <v>0</v>
      </c>
      <c r="K440" s="28" t="n">
        <v>0</v>
      </c>
      <c r="L440" s="28" t="n">
        <v>0</v>
      </c>
      <c r="M440" s="6" t="s">
        <f>=I440+J440+K440+L440</f>
      </c>
      <c r="N440" s="28"/>
      <c r="O440" s="26"/>
    </row>
    <row collapsed="false" customFormat="false" customHeight="false" hidden="false" ht="12.1" outlineLevel="0" r="441">
      <c r="A441" s="21" t="n">
        <v>45527</v>
      </c>
      <c r="B441" s="22" t="s">
        <v>645</v>
      </c>
      <c r="C441" s="22" t="s">
        <v>257</v>
      </c>
      <c r="D441" s="22" t="s">
        <v>645</v>
      </c>
      <c r="E441" s="22" t="s">
        <v>645</v>
      </c>
      <c r="F441" s="22" t="s">
        <v>20</v>
      </c>
      <c r="G441" s="23" t="n">
        <v>2</v>
      </c>
      <c r="H441" s="24" t="n">
        <v>3504.92</v>
      </c>
      <c r="I441" s="24" t="n">
        <v>7009.84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0" t="n">
        <v>45527.727858796</v>
      </c>
      <c r="B442" s="2" t="s">
        <v>25</v>
      </c>
      <c r="C442" s="2" t="s">
        <v>754</v>
      </c>
      <c r="D442" s="2" t="s">
        <v>527</v>
      </c>
      <c r="E442" s="2" t="s">
        <v>18</v>
      </c>
      <c r="F442" s="2" t="s">
        <v>20</v>
      </c>
      <c r="G442" s="7" t="n">
        <v>400</v>
      </c>
      <c r="H442" s="6" t="n">
        <v>8.1</v>
      </c>
      <c r="I442" s="6" t="n">
        <v>-3240</v>
      </c>
      <c r="J442" s="6" t="n">
        <v>0</v>
      </c>
      <c r="K442" s="6" t="n">
        <v>-1.62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0" t="n">
        <v>45527.8278125</v>
      </c>
      <c r="B443" s="2" t="s">
        <v>131</v>
      </c>
      <c r="C443" s="2" t="s">
        <v>654</v>
      </c>
      <c r="D443" s="2" t="s">
        <v>527</v>
      </c>
      <c r="E443" s="2" t="s">
        <v>124</v>
      </c>
      <c r="F443" s="2" t="s">
        <v>20</v>
      </c>
      <c r="G443" s="7" t="n">
        <v>30</v>
      </c>
      <c r="H443" s="6" t="n">
        <v>125.15</v>
      </c>
      <c r="I443" s="6" t="n">
        <v>-3754.5</v>
      </c>
      <c r="J443" s="6" t="n">
        <v>0</v>
      </c>
      <c r="K443" s="6" t="n">
        <v>-1.13</v>
      </c>
      <c r="L443" s="6" t="n">
        <v>0</v>
      </c>
      <c r="M443" s="6" t="s">
        <f>=I443+J443+K443+L443</f>
      </c>
      <c r="N443" s="6"/>
      <c r="O443" s="2"/>
    </row>
    <row collapsed="false" customFormat="false" customHeight="false" hidden="false" ht="12.1" outlineLevel="0" r="444">
      <c r="A444" s="21" t="n">
        <v>45530</v>
      </c>
      <c r="B444" s="22" t="s">
        <v>645</v>
      </c>
      <c r="C444" s="22" t="s">
        <v>257</v>
      </c>
      <c r="D444" s="22" t="s">
        <v>645</v>
      </c>
      <c r="E444" s="22" t="s">
        <v>645</v>
      </c>
      <c r="F444" s="22" t="s">
        <v>20</v>
      </c>
      <c r="G444" s="23" t="n">
        <v>1</v>
      </c>
      <c r="H444" s="24" t="n">
        <v>5300</v>
      </c>
      <c r="I444" s="24" t="n">
        <v>5300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0" t="n">
        <v>45530.418506944</v>
      </c>
      <c r="B445" s="2" t="s">
        <v>40</v>
      </c>
      <c r="C445" s="2" t="s">
        <v>674</v>
      </c>
      <c r="D445" s="2" t="s">
        <v>527</v>
      </c>
      <c r="E445" s="2" t="s">
        <v>18</v>
      </c>
      <c r="F445" s="2" t="s">
        <v>20</v>
      </c>
      <c r="G445" s="7" t="n">
        <v>2</v>
      </c>
      <c r="H445" s="6" t="n">
        <v>657.95</v>
      </c>
      <c r="I445" s="6" t="n">
        <v>-1315.9</v>
      </c>
      <c r="J445" s="6" t="n">
        <v>0</v>
      </c>
      <c r="K445" s="6" t="n">
        <v>-1.06</v>
      </c>
      <c r="L445" s="6" t="n">
        <v>0</v>
      </c>
      <c r="M445" s="6" t="s">
        <f>=I445+J445+K445+L445</f>
      </c>
      <c r="N445" s="6"/>
      <c r="O445" s="2"/>
    </row>
    <row collapsed="false" customFormat="false" customHeight="false" hidden="false" ht="12.1" outlineLevel="0" r="446">
      <c r="A446" s="20" t="n">
        <v>45530.420138889</v>
      </c>
      <c r="B446" s="2" t="s">
        <v>96</v>
      </c>
      <c r="C446" s="2" t="s">
        <v>755</v>
      </c>
      <c r="D446" s="2" t="s">
        <v>527</v>
      </c>
      <c r="E446" s="2" t="s">
        <v>18</v>
      </c>
      <c r="F446" s="2" t="s">
        <v>20</v>
      </c>
      <c r="G446" s="7" t="n">
        <v>1</v>
      </c>
      <c r="H446" s="6" t="n">
        <v>1242.8</v>
      </c>
      <c r="I446" s="6" t="n">
        <v>-1242.8</v>
      </c>
      <c r="J446" s="6" t="n">
        <v>0</v>
      </c>
      <c r="K446" s="6" t="n">
        <v>-0.99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0" t="n">
        <v>45530.420717593</v>
      </c>
      <c r="B447" s="2" t="s">
        <v>86</v>
      </c>
      <c r="C447" s="2" t="s">
        <v>662</v>
      </c>
      <c r="D447" s="2" t="s">
        <v>527</v>
      </c>
      <c r="E447" s="2" t="s">
        <v>18</v>
      </c>
      <c r="F447" s="2" t="s">
        <v>20</v>
      </c>
      <c r="G447" s="7" t="n">
        <v>1</v>
      </c>
      <c r="H447" s="6" t="n">
        <v>2697.6</v>
      </c>
      <c r="I447" s="6" t="n">
        <v>-2697.6</v>
      </c>
      <c r="J447" s="6" t="n">
        <v>0</v>
      </c>
      <c r="K447" s="6" t="n">
        <v>-2.16</v>
      </c>
      <c r="L447" s="6" t="n">
        <v>0</v>
      </c>
      <c r="M447" s="6" t="s">
        <f>=I447+J447+K447+L447</f>
      </c>
      <c r="N447" s="6"/>
      <c r="O447" s="2"/>
    </row>
    <row collapsed="false" customFormat="false" customHeight="false" hidden="false" ht="12.1" outlineLevel="0" r="448">
      <c r="A448" s="21" t="n">
        <v>45532</v>
      </c>
      <c r="B448" s="22" t="s">
        <v>645</v>
      </c>
      <c r="C448" s="22" t="s">
        <v>257</v>
      </c>
      <c r="D448" s="22" t="s">
        <v>645</v>
      </c>
      <c r="E448" s="22" t="s">
        <v>645</v>
      </c>
      <c r="F448" s="22" t="s">
        <v>20</v>
      </c>
      <c r="G448" s="23" t="n">
        <v>2</v>
      </c>
      <c r="H448" s="24" t="n">
        <v>835</v>
      </c>
      <c r="I448" s="24" t="n">
        <v>1670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0" t="n">
        <v>45532.5859375</v>
      </c>
      <c r="B449" s="2" t="s">
        <v>538</v>
      </c>
      <c r="C449" s="2" t="s">
        <v>673</v>
      </c>
      <c r="D449" s="2" t="s">
        <v>527</v>
      </c>
      <c r="E449" s="2" t="s">
        <v>18</v>
      </c>
      <c r="F449" s="2" t="s">
        <v>20</v>
      </c>
      <c r="G449" s="7" t="n">
        <v>5</v>
      </c>
      <c r="H449" s="6" t="n">
        <v>113.3</v>
      </c>
      <c r="I449" s="6" t="n">
        <v>-566.5</v>
      </c>
      <c r="J449" s="6" t="n">
        <v>0</v>
      </c>
      <c r="K449" s="6" t="n">
        <v>-0.45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45532.702592593</v>
      </c>
      <c r="B450" s="2" t="s">
        <v>94</v>
      </c>
      <c r="C450" s="2" t="s">
        <v>756</v>
      </c>
      <c r="D450" s="2" t="s">
        <v>527</v>
      </c>
      <c r="E450" s="2" t="s">
        <v>18</v>
      </c>
      <c r="F450" s="2" t="s">
        <v>20</v>
      </c>
      <c r="G450" s="7" t="n">
        <v>10</v>
      </c>
      <c r="H450" s="6" t="n">
        <v>113.62</v>
      </c>
      <c r="I450" s="6" t="n">
        <v>-1136.2</v>
      </c>
      <c r="J450" s="6" t="n">
        <v>0</v>
      </c>
      <c r="K450" s="6" t="n">
        <v>-0.91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1" t="n">
        <v>45537</v>
      </c>
      <c r="B451" s="22" t="s">
        <v>645</v>
      </c>
      <c r="C451" s="22" t="s">
        <v>257</v>
      </c>
      <c r="D451" s="22" t="s">
        <v>645</v>
      </c>
      <c r="E451" s="22" t="s">
        <v>645</v>
      </c>
      <c r="F451" s="22" t="s">
        <v>20</v>
      </c>
      <c r="G451" s="23" t="n">
        <v>4</v>
      </c>
      <c r="H451" s="24" t="n">
        <v>2855.2975</v>
      </c>
      <c r="I451" s="24" t="n">
        <v>11421.19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45537</v>
      </c>
      <c r="B452" s="22" t="s">
        <v>720</v>
      </c>
      <c r="C452" s="22" t="s">
        <v>757</v>
      </c>
      <c r="D452" s="22" t="s">
        <v>720</v>
      </c>
      <c r="E452" s="22" t="s">
        <v>720</v>
      </c>
      <c r="F452" s="22" t="s">
        <v>20</v>
      </c>
      <c r="G452" s="23" t="n">
        <v>2</v>
      </c>
      <c r="H452" s="24" t="n">
        <v>418.69</v>
      </c>
      <c r="I452" s="24" t="n">
        <v>837.38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0" t="n">
        <v>45537.460775463</v>
      </c>
      <c r="B453" s="2" t="s">
        <v>40</v>
      </c>
      <c r="C453" s="2" t="s">
        <v>674</v>
      </c>
      <c r="D453" s="2" t="s">
        <v>527</v>
      </c>
      <c r="E453" s="2" t="s">
        <v>18</v>
      </c>
      <c r="F453" s="2" t="s">
        <v>20</v>
      </c>
      <c r="G453" s="7" t="n">
        <v>5</v>
      </c>
      <c r="H453" s="6" t="n">
        <v>640.35</v>
      </c>
      <c r="I453" s="6" t="n">
        <v>-3201.75</v>
      </c>
      <c r="J453" s="6" t="n">
        <v>0</v>
      </c>
      <c r="K453" s="6" t="n">
        <v>-2.56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45537.461354167</v>
      </c>
      <c r="B454" s="2" t="s">
        <v>31</v>
      </c>
      <c r="C454" s="2" t="s">
        <v>742</v>
      </c>
      <c r="D454" s="2" t="s">
        <v>527</v>
      </c>
      <c r="E454" s="2" t="s">
        <v>18</v>
      </c>
      <c r="F454" s="2" t="s">
        <v>20</v>
      </c>
      <c r="G454" s="7" t="n">
        <v>1</v>
      </c>
      <c r="H454" s="6" t="n">
        <v>4664</v>
      </c>
      <c r="I454" s="6" t="n">
        <v>-4664</v>
      </c>
      <c r="J454" s="6" t="n">
        <v>0</v>
      </c>
      <c r="K454" s="6" t="n">
        <v>-3.72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5" t="n">
        <v>45537.462118056</v>
      </c>
      <c r="B455" s="26" t="s">
        <v>133</v>
      </c>
      <c r="C455" s="26" t="s">
        <v>656</v>
      </c>
      <c r="D455" s="26" t="s">
        <v>528</v>
      </c>
      <c r="E455" s="26" t="s">
        <v>124</v>
      </c>
      <c r="F455" s="26" t="s">
        <v>20</v>
      </c>
      <c r="G455" s="27" t="n">
        <v>-20</v>
      </c>
      <c r="H455" s="28" t="n">
        <v>1.467</v>
      </c>
      <c r="I455" s="28" t="n">
        <v>29.34</v>
      </c>
      <c r="J455" s="28" t="n">
        <v>0</v>
      </c>
      <c r="K455" s="28" t="n">
        <v>0</v>
      </c>
      <c r="L455" s="28" t="n">
        <v>0</v>
      </c>
      <c r="M455" s="6" t="s">
        <f>=I455+J455+K455+L455</f>
      </c>
      <c r="N455" s="28"/>
      <c r="O455" s="26"/>
    </row>
    <row collapsed="false" customFormat="false" customHeight="false" hidden="false" ht="12.1" outlineLevel="0" r="456">
      <c r="A456" s="20" t="n">
        <v>45537.46369213</v>
      </c>
      <c r="B456" s="2" t="s">
        <v>549</v>
      </c>
      <c r="C456" s="2" t="s">
        <v>758</v>
      </c>
      <c r="D456" s="2" t="s">
        <v>527</v>
      </c>
      <c r="E456" s="2" t="s">
        <v>18</v>
      </c>
      <c r="F456" s="2" t="s">
        <v>20</v>
      </c>
      <c r="G456" s="7" t="n">
        <v>5</v>
      </c>
      <c r="H456" s="6" t="n">
        <v>327.35</v>
      </c>
      <c r="I456" s="6" t="n">
        <v>-1636.75</v>
      </c>
      <c r="J456" s="6" t="n">
        <v>0</v>
      </c>
      <c r="K456" s="6" t="n">
        <v>-1.31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45537.464803241</v>
      </c>
      <c r="B457" s="2" t="s">
        <v>54</v>
      </c>
      <c r="C457" s="2" t="s">
        <v>55</v>
      </c>
      <c r="D457" s="2" t="s">
        <v>527</v>
      </c>
      <c r="E457" s="2" t="s">
        <v>18</v>
      </c>
      <c r="F457" s="2" t="s">
        <v>20</v>
      </c>
      <c r="G457" s="7" t="n">
        <v>3000</v>
      </c>
      <c r="H457" s="6" t="n">
        <v>0.5959</v>
      </c>
      <c r="I457" s="6" t="n">
        <v>-1787.7</v>
      </c>
      <c r="J457" s="6" t="n">
        <v>0</v>
      </c>
      <c r="K457" s="6" t="n">
        <v>-1.43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45537.566643519</v>
      </c>
      <c r="B458" s="2" t="s">
        <v>88</v>
      </c>
      <c r="C458" s="2" t="s">
        <v>653</v>
      </c>
      <c r="D458" s="2" t="s">
        <v>527</v>
      </c>
      <c r="E458" s="2" t="s">
        <v>18</v>
      </c>
      <c r="F458" s="2" t="s">
        <v>20</v>
      </c>
      <c r="G458" s="7" t="n">
        <v>100</v>
      </c>
      <c r="H458" s="6" t="n">
        <v>3.624</v>
      </c>
      <c r="I458" s="6" t="n">
        <v>-362.4</v>
      </c>
      <c r="J458" s="6" t="n">
        <v>0</v>
      </c>
      <c r="K458" s="6" t="n">
        <v>-0.29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45537.567395833</v>
      </c>
      <c r="B459" s="2" t="s">
        <v>126</v>
      </c>
      <c r="C459" s="2" t="s">
        <v>709</v>
      </c>
      <c r="D459" s="2" t="s">
        <v>527</v>
      </c>
      <c r="E459" s="2" t="s">
        <v>124</v>
      </c>
      <c r="F459" s="2" t="s">
        <v>20</v>
      </c>
      <c r="G459" s="7" t="n">
        <v>1</v>
      </c>
      <c r="H459" s="6" t="n">
        <v>143.16</v>
      </c>
      <c r="I459" s="6" t="n">
        <v>-143.16</v>
      </c>
      <c r="J459" s="6" t="n">
        <v>0</v>
      </c>
      <c r="K459" s="6" t="n">
        <v>-0.04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45537.713622685</v>
      </c>
      <c r="B460" s="2" t="s">
        <v>131</v>
      </c>
      <c r="C460" s="2" t="s">
        <v>654</v>
      </c>
      <c r="D460" s="2" t="s">
        <v>527</v>
      </c>
      <c r="E460" s="2" t="s">
        <v>124</v>
      </c>
      <c r="F460" s="2" t="s">
        <v>20</v>
      </c>
      <c r="G460" s="7" t="n">
        <v>4</v>
      </c>
      <c r="H460" s="6" t="n">
        <v>121.85</v>
      </c>
      <c r="I460" s="6" t="n">
        <v>-487.4</v>
      </c>
      <c r="J460" s="6" t="n">
        <v>0</v>
      </c>
      <c r="K460" s="6" t="n">
        <v>-0.15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1" t="n">
        <v>45544</v>
      </c>
      <c r="B461" s="22" t="s">
        <v>645</v>
      </c>
      <c r="C461" s="22" t="s">
        <v>257</v>
      </c>
      <c r="D461" s="22" t="s">
        <v>645</v>
      </c>
      <c r="E461" s="22" t="s">
        <v>645</v>
      </c>
      <c r="F461" s="22" t="s">
        <v>20</v>
      </c>
      <c r="G461" s="23" t="n">
        <v>2</v>
      </c>
      <c r="H461" s="24" t="n">
        <v>1675.3</v>
      </c>
      <c r="I461" s="24" t="n">
        <v>3350.6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4"/>
      <c r="O461" s="22"/>
    </row>
    <row collapsed="false" customFormat="false" customHeight="false" hidden="false" ht="12.1" outlineLevel="0" r="462">
      <c r="A462" s="20" t="n">
        <v>45544.556736111</v>
      </c>
      <c r="B462" s="2" t="s">
        <v>40</v>
      </c>
      <c r="C462" s="2" t="s">
        <v>674</v>
      </c>
      <c r="D462" s="2" t="s">
        <v>527</v>
      </c>
      <c r="E462" s="2" t="s">
        <v>18</v>
      </c>
      <c r="F462" s="2" t="s">
        <v>20</v>
      </c>
      <c r="G462" s="7" t="n">
        <v>5</v>
      </c>
      <c r="H462" s="6" t="n">
        <v>668.3</v>
      </c>
      <c r="I462" s="6" t="n">
        <v>-3341.5</v>
      </c>
      <c r="J462" s="6" t="n">
        <v>0</v>
      </c>
      <c r="K462" s="6" t="n">
        <v>-2.68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1" t="n">
        <v>45546</v>
      </c>
      <c r="B463" s="22" t="s">
        <v>720</v>
      </c>
      <c r="C463" s="22" t="s">
        <v>759</v>
      </c>
      <c r="D463" s="22" t="s">
        <v>720</v>
      </c>
      <c r="E463" s="22" t="s">
        <v>720</v>
      </c>
      <c r="F463" s="22" t="s">
        <v>20</v>
      </c>
      <c r="G463" s="23" t="n">
        <v>1</v>
      </c>
      <c r="H463" s="24" t="n">
        <v>15.86</v>
      </c>
      <c r="I463" s="24" t="n">
        <v>15.86</v>
      </c>
      <c r="J463" s="24" t="n">
        <v>0</v>
      </c>
      <c r="K463" s="24" t="n">
        <v>0</v>
      </c>
      <c r="L463" s="24" t="n">
        <v>0</v>
      </c>
      <c r="M463" s="6" t="s">
        <f>=I463+J463+K463+L463</f>
      </c>
      <c r="N463" s="24"/>
      <c r="O463" s="22"/>
    </row>
    <row collapsed="false" customFormat="false" customHeight="false" hidden="false" ht="12.1" outlineLevel="0" r="464">
      <c r="A464" s="21" t="n">
        <v>45547</v>
      </c>
      <c r="B464" s="22" t="s">
        <v>720</v>
      </c>
      <c r="C464" s="22" t="s">
        <v>760</v>
      </c>
      <c r="D464" s="22" t="s">
        <v>720</v>
      </c>
      <c r="E464" s="22" t="s">
        <v>720</v>
      </c>
      <c r="F464" s="22" t="s">
        <v>20</v>
      </c>
      <c r="G464" s="23" t="n">
        <v>1</v>
      </c>
      <c r="H464" s="24" t="n">
        <v>3000</v>
      </c>
      <c r="I464" s="24" t="n">
        <v>3000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4"/>
      <c r="O464" s="22"/>
    </row>
    <row collapsed="false" customFormat="false" customHeight="false" hidden="false" ht="12.1" outlineLevel="0" r="465">
      <c r="A465" s="20" t="n">
        <v>45547.684918981</v>
      </c>
      <c r="B465" s="2" t="s">
        <v>126</v>
      </c>
      <c r="C465" s="2" t="s">
        <v>709</v>
      </c>
      <c r="D465" s="2" t="s">
        <v>527</v>
      </c>
      <c r="E465" s="2" t="s">
        <v>124</v>
      </c>
      <c r="F465" s="2" t="s">
        <v>20</v>
      </c>
      <c r="G465" s="7" t="n">
        <v>21</v>
      </c>
      <c r="H465" s="6" t="n">
        <v>143.8</v>
      </c>
      <c r="I465" s="6" t="n">
        <v>-3019.8</v>
      </c>
      <c r="J465" s="6" t="n">
        <v>0</v>
      </c>
      <c r="K465" s="6" t="n">
        <v>-0.91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1" t="n">
        <v>45551</v>
      </c>
      <c r="B466" s="22" t="s">
        <v>645</v>
      </c>
      <c r="C466" s="22" t="s">
        <v>257</v>
      </c>
      <c r="D466" s="22" t="s">
        <v>645</v>
      </c>
      <c r="E466" s="22" t="s">
        <v>645</v>
      </c>
      <c r="F466" s="22" t="s">
        <v>20</v>
      </c>
      <c r="G466" s="23" t="n">
        <v>2</v>
      </c>
      <c r="H466" s="24" t="n">
        <v>75167.96</v>
      </c>
      <c r="I466" s="24" t="n">
        <v>150335.92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4"/>
      <c r="O466" s="22"/>
    </row>
    <row collapsed="false" customFormat="false" customHeight="false" hidden="false" ht="12.1" outlineLevel="0" r="467">
      <c r="A467" s="20" t="n">
        <v>45551.465914352</v>
      </c>
      <c r="B467" s="2" t="s">
        <v>538</v>
      </c>
      <c r="C467" s="2" t="s">
        <v>673</v>
      </c>
      <c r="D467" s="2" t="s">
        <v>527</v>
      </c>
      <c r="E467" s="2" t="s">
        <v>18</v>
      </c>
      <c r="F467" s="2" t="s">
        <v>20</v>
      </c>
      <c r="G467" s="7" t="n">
        <v>3</v>
      </c>
      <c r="H467" s="6" t="n">
        <v>108.7</v>
      </c>
      <c r="I467" s="6" t="n">
        <v>-326.1</v>
      </c>
      <c r="J467" s="6" t="n">
        <v>0</v>
      </c>
      <c r="K467" s="6" t="n">
        <v>-0.16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45551.548425926</v>
      </c>
      <c r="B468" s="2" t="s">
        <v>161</v>
      </c>
      <c r="C468" s="2" t="s">
        <v>761</v>
      </c>
      <c r="D468" s="2" t="s">
        <v>527</v>
      </c>
      <c r="E468" s="2" t="s">
        <v>137</v>
      </c>
      <c r="F468" s="2" t="s">
        <v>20</v>
      </c>
      <c r="G468" s="7" t="n">
        <v>20</v>
      </c>
      <c r="H468" s="6" t="n">
        <v>71.3</v>
      </c>
      <c r="I468" s="6" t="n">
        <v>-14260</v>
      </c>
      <c r="J468" s="6" t="n">
        <v>-577.8</v>
      </c>
      <c r="K468" s="6" t="n">
        <v>-8.35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0" t="n">
        <v>45551.549166667</v>
      </c>
      <c r="B469" s="2" t="s">
        <v>149</v>
      </c>
      <c r="C469" s="2" t="s">
        <v>726</v>
      </c>
      <c r="D469" s="2" t="s">
        <v>527</v>
      </c>
      <c r="E469" s="2" t="s">
        <v>137</v>
      </c>
      <c r="F469" s="2" t="s">
        <v>20</v>
      </c>
      <c r="G469" s="7" t="n">
        <v>20</v>
      </c>
      <c r="H469" s="6" t="n">
        <v>63.187</v>
      </c>
      <c r="I469" s="6" t="n">
        <v>-12637.4</v>
      </c>
      <c r="J469" s="6" t="n">
        <v>-704.6</v>
      </c>
      <c r="K469" s="6" t="n">
        <v>-7.4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0" t="n">
        <v>45551.549930556</v>
      </c>
      <c r="B470" s="2" t="s">
        <v>152</v>
      </c>
      <c r="C470" s="2" t="s">
        <v>762</v>
      </c>
      <c r="D470" s="2" t="s">
        <v>527</v>
      </c>
      <c r="E470" s="2" t="s">
        <v>137</v>
      </c>
      <c r="F470" s="2" t="s">
        <v>20</v>
      </c>
      <c r="G470" s="7" t="n">
        <v>20</v>
      </c>
      <c r="H470" s="6" t="n">
        <v>81.2</v>
      </c>
      <c r="I470" s="6" t="n">
        <v>-16240</v>
      </c>
      <c r="J470" s="6" t="n">
        <v>-822</v>
      </c>
      <c r="K470" s="6" t="n">
        <v>-9.5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0" t="n">
        <v>45551.550729167</v>
      </c>
      <c r="B471" s="2" t="s">
        <v>164</v>
      </c>
      <c r="C471" s="2" t="s">
        <v>763</v>
      </c>
      <c r="D471" s="2" t="s">
        <v>527</v>
      </c>
      <c r="E471" s="2" t="s">
        <v>137</v>
      </c>
      <c r="F471" s="2" t="s">
        <v>20</v>
      </c>
      <c r="G471" s="7" t="n">
        <v>20</v>
      </c>
      <c r="H471" s="6" t="n">
        <v>81</v>
      </c>
      <c r="I471" s="6" t="n">
        <v>-16200</v>
      </c>
      <c r="J471" s="6" t="n">
        <v>-839</v>
      </c>
      <c r="K471" s="6" t="n">
        <v>-9.48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45551.5515625</v>
      </c>
      <c r="B472" s="2" t="s">
        <v>167</v>
      </c>
      <c r="C472" s="2" t="s">
        <v>764</v>
      </c>
      <c r="D472" s="2" t="s">
        <v>527</v>
      </c>
      <c r="E472" s="2" t="s">
        <v>137</v>
      </c>
      <c r="F472" s="2" t="s">
        <v>20</v>
      </c>
      <c r="G472" s="7" t="n">
        <v>20</v>
      </c>
      <c r="H472" s="6" t="n">
        <v>80.7</v>
      </c>
      <c r="I472" s="6" t="n">
        <v>-16140</v>
      </c>
      <c r="J472" s="6" t="n">
        <v>-839</v>
      </c>
      <c r="K472" s="6" t="n">
        <v>-9.44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45551.552384259</v>
      </c>
      <c r="B473" s="2" t="s">
        <v>146</v>
      </c>
      <c r="C473" s="2" t="s">
        <v>723</v>
      </c>
      <c r="D473" s="2" t="s">
        <v>527</v>
      </c>
      <c r="E473" s="2" t="s">
        <v>137</v>
      </c>
      <c r="F473" s="2" t="s">
        <v>20</v>
      </c>
      <c r="G473" s="7" t="n">
        <v>20</v>
      </c>
      <c r="H473" s="6" t="n">
        <v>79.098</v>
      </c>
      <c r="I473" s="6" t="n">
        <v>-15819.6</v>
      </c>
      <c r="J473" s="6" t="n">
        <v>-1072.6</v>
      </c>
      <c r="K473" s="6" t="n">
        <v>-9.26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45551.553368056</v>
      </c>
      <c r="B474" s="2" t="s">
        <v>126</v>
      </c>
      <c r="C474" s="2" t="s">
        <v>709</v>
      </c>
      <c r="D474" s="2" t="s">
        <v>527</v>
      </c>
      <c r="E474" s="2" t="s">
        <v>124</v>
      </c>
      <c r="F474" s="2" t="s">
        <v>20</v>
      </c>
      <c r="G474" s="7" t="n">
        <v>106</v>
      </c>
      <c r="H474" s="6" t="n">
        <v>143.69433962264</v>
      </c>
      <c r="I474" s="6" t="n">
        <v>-15231.6</v>
      </c>
      <c r="J474" s="6" t="n">
        <v>0</v>
      </c>
      <c r="K474" s="6" t="n">
        <v>-4.57</v>
      </c>
      <c r="L474" s="6" t="n">
        <v>0</v>
      </c>
      <c r="M474" s="6" t="s">
        <f>=I474+J474+K474+L474</f>
      </c>
      <c r="N474" s="6"/>
      <c r="O474" s="2"/>
    </row>
    <row collapsed="false" customFormat="false" customHeight="false" hidden="false" ht="12.1" outlineLevel="0" r="475">
      <c r="A475" s="20" t="n">
        <v>45551.554861111</v>
      </c>
      <c r="B475" s="2" t="s">
        <v>133</v>
      </c>
      <c r="C475" s="2" t="s">
        <v>656</v>
      </c>
      <c r="D475" s="2" t="s">
        <v>527</v>
      </c>
      <c r="E475" s="2" t="s">
        <v>124</v>
      </c>
      <c r="F475" s="2" t="s">
        <v>20</v>
      </c>
      <c r="G475" s="7" t="n">
        <v>26000</v>
      </c>
      <c r="H475" s="6" t="n">
        <v>1.4776</v>
      </c>
      <c r="I475" s="6" t="n">
        <v>-38417.6</v>
      </c>
      <c r="J475" s="6" t="n">
        <v>0</v>
      </c>
      <c r="K475" s="6" t="n">
        <v>0</v>
      </c>
      <c r="L475" s="6" t="n">
        <v>0</v>
      </c>
      <c r="M475" s="6" t="s">
        <f>=I475+J475+K475+L475</f>
      </c>
      <c r="N475" s="6"/>
      <c r="O475" s="2"/>
    </row>
    <row collapsed="false" customFormat="false" customHeight="false" hidden="false" ht="12.1" outlineLevel="0" r="476">
      <c r="A476" s="21" t="n">
        <v>45553</v>
      </c>
      <c r="B476" s="22" t="s">
        <v>645</v>
      </c>
      <c r="C476" s="22" t="s">
        <v>257</v>
      </c>
      <c r="D476" s="22" t="s">
        <v>645</v>
      </c>
      <c r="E476" s="22" t="s">
        <v>645</v>
      </c>
      <c r="F476" s="22" t="s">
        <v>20</v>
      </c>
      <c r="G476" s="23" t="n">
        <v>1</v>
      </c>
      <c r="H476" s="24" t="n">
        <v>1525.54</v>
      </c>
      <c r="I476" s="24" t="n">
        <v>1525.54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0" t="n">
        <v>45553.494733796</v>
      </c>
      <c r="B477" s="2" t="s">
        <v>126</v>
      </c>
      <c r="C477" s="2" t="s">
        <v>709</v>
      </c>
      <c r="D477" s="2" t="s">
        <v>527</v>
      </c>
      <c r="E477" s="2" t="s">
        <v>124</v>
      </c>
      <c r="F477" s="2" t="s">
        <v>20</v>
      </c>
      <c r="G477" s="7" t="n">
        <v>11</v>
      </c>
      <c r="H477" s="6" t="n">
        <v>143.46181818182</v>
      </c>
      <c r="I477" s="6" t="n">
        <v>-1578.08</v>
      </c>
      <c r="J477" s="6" t="n">
        <v>0</v>
      </c>
      <c r="K477" s="6" t="n">
        <v>-0.47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1" t="n">
        <v>45559</v>
      </c>
      <c r="B478" s="22" t="s">
        <v>645</v>
      </c>
      <c r="C478" s="22" t="s">
        <v>257</v>
      </c>
      <c r="D478" s="22" t="s">
        <v>645</v>
      </c>
      <c r="E478" s="22" t="s">
        <v>645</v>
      </c>
      <c r="F478" s="22" t="s">
        <v>20</v>
      </c>
      <c r="G478" s="23" t="n">
        <v>1</v>
      </c>
      <c r="H478" s="24" t="n">
        <v>11007.06</v>
      </c>
      <c r="I478" s="24" t="n">
        <v>11007.06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0" t="n">
        <v>45559.567060185</v>
      </c>
      <c r="B479" s="2" t="s">
        <v>133</v>
      </c>
      <c r="C479" s="2" t="s">
        <v>656</v>
      </c>
      <c r="D479" s="2" t="s">
        <v>527</v>
      </c>
      <c r="E479" s="2" t="s">
        <v>124</v>
      </c>
      <c r="F479" s="2" t="s">
        <v>20</v>
      </c>
      <c r="G479" s="7" t="n">
        <v>7450</v>
      </c>
      <c r="H479" s="6" t="n">
        <v>1.4834</v>
      </c>
      <c r="I479" s="6" t="n">
        <v>-11051.33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1" t="n">
        <v>45560</v>
      </c>
      <c r="B480" s="22" t="s">
        <v>645</v>
      </c>
      <c r="C480" s="22" t="s">
        <v>257</v>
      </c>
      <c r="D480" s="22" t="s">
        <v>645</v>
      </c>
      <c r="E480" s="22" t="s">
        <v>645</v>
      </c>
      <c r="F480" s="22" t="s">
        <v>20</v>
      </c>
      <c r="G480" s="23" t="n">
        <v>3</v>
      </c>
      <c r="H480" s="24" t="n">
        <v>1064.02</v>
      </c>
      <c r="I480" s="24" t="n">
        <v>3192.06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45560</v>
      </c>
      <c r="B481" s="22" t="s">
        <v>720</v>
      </c>
      <c r="C481" s="22" t="s">
        <v>765</v>
      </c>
      <c r="D481" s="22" t="s">
        <v>720</v>
      </c>
      <c r="E481" s="22" t="s">
        <v>720</v>
      </c>
      <c r="F481" s="22" t="s">
        <v>20</v>
      </c>
      <c r="G481" s="23" t="n">
        <v>1</v>
      </c>
      <c r="H481" s="24" t="n">
        <v>660</v>
      </c>
      <c r="I481" s="24" t="n">
        <v>660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0" t="n">
        <v>45560.628726852</v>
      </c>
      <c r="B482" s="2" t="s">
        <v>133</v>
      </c>
      <c r="C482" s="2" t="s">
        <v>656</v>
      </c>
      <c r="D482" s="2" t="s">
        <v>527</v>
      </c>
      <c r="E482" s="2" t="s">
        <v>124</v>
      </c>
      <c r="F482" s="2" t="s">
        <v>20</v>
      </c>
      <c r="G482" s="7" t="n">
        <v>1150</v>
      </c>
      <c r="H482" s="6" t="n">
        <v>1.484104</v>
      </c>
      <c r="I482" s="6" t="n">
        <v>-1706.72</v>
      </c>
      <c r="J482" s="6" t="n">
        <v>0</v>
      </c>
      <c r="K482" s="6" t="n">
        <v>0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0" t="n">
        <v>45560.640497685</v>
      </c>
      <c r="B483" s="2" t="s">
        <v>143</v>
      </c>
      <c r="C483" s="2" t="s">
        <v>752</v>
      </c>
      <c r="D483" s="2" t="s">
        <v>527</v>
      </c>
      <c r="E483" s="2" t="s">
        <v>137</v>
      </c>
      <c r="F483" s="2" t="s">
        <v>20</v>
      </c>
      <c r="G483" s="7" t="n">
        <v>3</v>
      </c>
      <c r="H483" s="6" t="n">
        <v>67.326</v>
      </c>
      <c r="I483" s="6" t="n">
        <v>-2019.78</v>
      </c>
      <c r="J483" s="6" t="n">
        <v>-91.02</v>
      </c>
      <c r="K483" s="6" t="n">
        <v>-1.18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5" t="n">
        <v>45561.419768519</v>
      </c>
      <c r="B484" s="26" t="s">
        <v>538</v>
      </c>
      <c r="C484" s="26" t="s">
        <v>673</v>
      </c>
      <c r="D484" s="26" t="s">
        <v>528</v>
      </c>
      <c r="E484" s="26" t="s">
        <v>18</v>
      </c>
      <c r="F484" s="26" t="s">
        <v>20</v>
      </c>
      <c r="G484" s="27" t="n">
        <v>-5</v>
      </c>
      <c r="H484" s="28" t="n">
        <v>129.5</v>
      </c>
      <c r="I484" s="28" t="n">
        <v>647.5</v>
      </c>
      <c r="J484" s="28" t="n">
        <v>0</v>
      </c>
      <c r="K484" s="28" t="n">
        <v>-0.51</v>
      </c>
      <c r="L484" s="28" t="n">
        <v>0</v>
      </c>
      <c r="M484" s="6" t="s">
        <f>=I484+J484+K484+L484</f>
      </c>
      <c r="N484" s="28"/>
      <c r="O484" s="26"/>
    </row>
    <row collapsed="false" customFormat="false" customHeight="false" hidden="false" ht="12.1" outlineLevel="0" r="485">
      <c r="A485" s="20" t="n">
        <v>45561.422592593</v>
      </c>
      <c r="B485" s="2" t="s">
        <v>133</v>
      </c>
      <c r="C485" s="2" t="s">
        <v>656</v>
      </c>
      <c r="D485" s="2" t="s">
        <v>527</v>
      </c>
      <c r="E485" s="2" t="s">
        <v>124</v>
      </c>
      <c r="F485" s="2" t="s">
        <v>20</v>
      </c>
      <c r="G485" s="7" t="n">
        <v>500</v>
      </c>
      <c r="H485" s="6" t="n">
        <v>1.4848</v>
      </c>
      <c r="I485" s="6" t="n">
        <v>-742.4</v>
      </c>
      <c r="J485" s="6" t="n">
        <v>0</v>
      </c>
      <c r="K485" s="6" t="n">
        <v>0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5" t="n">
        <v>45565.418240741</v>
      </c>
      <c r="B486" s="26" t="s">
        <v>538</v>
      </c>
      <c r="C486" s="26" t="s">
        <v>673</v>
      </c>
      <c r="D486" s="26" t="s">
        <v>528</v>
      </c>
      <c r="E486" s="26" t="s">
        <v>18</v>
      </c>
      <c r="F486" s="26" t="s">
        <v>20</v>
      </c>
      <c r="G486" s="27" t="n">
        <v>-3</v>
      </c>
      <c r="H486" s="28" t="n">
        <v>134.4</v>
      </c>
      <c r="I486" s="28" t="n">
        <v>403.2</v>
      </c>
      <c r="J486" s="28" t="n">
        <v>0</v>
      </c>
      <c r="K486" s="28" t="n">
        <v>-0.32</v>
      </c>
      <c r="L486" s="28" t="n">
        <v>0</v>
      </c>
      <c r="M486" s="6" t="s">
        <f>=I486+J486+K486+L486</f>
      </c>
      <c r="N486" s="28"/>
      <c r="O486" s="26"/>
    </row>
    <row collapsed="false" customFormat="false" customHeight="false" hidden="false" ht="12.1" outlineLevel="0" r="487">
      <c r="A487" s="20" t="n">
        <v>45565.421099537</v>
      </c>
      <c r="B487" s="2" t="s">
        <v>133</v>
      </c>
      <c r="C487" s="2" t="s">
        <v>656</v>
      </c>
      <c r="D487" s="2" t="s">
        <v>527</v>
      </c>
      <c r="E487" s="2" t="s">
        <v>124</v>
      </c>
      <c r="F487" s="2" t="s">
        <v>20</v>
      </c>
      <c r="G487" s="7" t="n">
        <v>270</v>
      </c>
      <c r="H487" s="6" t="n">
        <v>1.487815</v>
      </c>
      <c r="I487" s="6" t="n">
        <v>-401.71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1" t="n">
        <v>45567</v>
      </c>
      <c r="B488" s="22" t="s">
        <v>720</v>
      </c>
      <c r="C488" s="22" t="s">
        <v>750</v>
      </c>
      <c r="D488" s="22" t="s">
        <v>720</v>
      </c>
      <c r="E488" s="22" t="s">
        <v>720</v>
      </c>
      <c r="F488" s="22" t="s">
        <v>20</v>
      </c>
      <c r="G488" s="23" t="n">
        <v>2</v>
      </c>
      <c r="H488" s="24" t="n">
        <v>365.065</v>
      </c>
      <c r="I488" s="24" t="n">
        <v>730.13</v>
      </c>
      <c r="J488" s="24" t="n">
        <v>0</v>
      </c>
      <c r="K488" s="24" t="n">
        <v>0</v>
      </c>
      <c r="L488" s="24" t="n">
        <v>0</v>
      </c>
      <c r="M488" s="6" t="s">
        <f>=I488+J488+K488+L488</f>
      </c>
      <c r="N488" s="24"/>
      <c r="O488" s="22"/>
    </row>
    <row collapsed="false" customFormat="false" customHeight="false" hidden="false" ht="12.1" outlineLevel="0" r="489">
      <c r="A489" s="21" t="n">
        <v>45567</v>
      </c>
      <c r="B489" s="22" t="s">
        <v>645</v>
      </c>
      <c r="C489" s="22" t="s">
        <v>257</v>
      </c>
      <c r="D489" s="22" t="s">
        <v>645</v>
      </c>
      <c r="E489" s="22" t="s">
        <v>645</v>
      </c>
      <c r="F489" s="22" t="s">
        <v>20</v>
      </c>
      <c r="G489" s="23" t="n">
        <v>2</v>
      </c>
      <c r="H489" s="24" t="n">
        <v>889.735</v>
      </c>
      <c r="I489" s="24" t="n">
        <v>1779.47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0" t="n">
        <v>45567.542685185</v>
      </c>
      <c r="B490" s="2" t="s">
        <v>126</v>
      </c>
      <c r="C490" s="2" t="s">
        <v>709</v>
      </c>
      <c r="D490" s="2" t="s">
        <v>527</v>
      </c>
      <c r="E490" s="2" t="s">
        <v>124</v>
      </c>
      <c r="F490" s="2" t="s">
        <v>20</v>
      </c>
      <c r="G490" s="7" t="n">
        <v>2</v>
      </c>
      <c r="H490" s="6" t="n">
        <v>144.5</v>
      </c>
      <c r="I490" s="6" t="n">
        <v>-289</v>
      </c>
      <c r="J490" s="6" t="n">
        <v>0</v>
      </c>
      <c r="K490" s="6" t="n">
        <v>-0.09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45568</v>
      </c>
      <c r="B491" s="22" t="s">
        <v>645</v>
      </c>
      <c r="C491" s="22" t="s">
        <v>257</v>
      </c>
      <c r="D491" s="22" t="s">
        <v>645</v>
      </c>
      <c r="E491" s="22" t="s">
        <v>645</v>
      </c>
      <c r="F491" s="22" t="s">
        <v>20</v>
      </c>
      <c r="G491" s="23" t="n">
        <v>1</v>
      </c>
      <c r="H491" s="24" t="n">
        <v>351.68</v>
      </c>
      <c r="I491" s="24" t="n">
        <v>351.68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0" t="n">
        <v>45568.763611111</v>
      </c>
      <c r="B492" s="2" t="s">
        <v>143</v>
      </c>
      <c r="C492" s="2" t="s">
        <v>752</v>
      </c>
      <c r="D492" s="2" t="s">
        <v>527</v>
      </c>
      <c r="E492" s="2" t="s">
        <v>137</v>
      </c>
      <c r="F492" s="2" t="s">
        <v>20</v>
      </c>
      <c r="G492" s="7" t="n">
        <v>3</v>
      </c>
      <c r="H492" s="6" t="n">
        <v>65.234</v>
      </c>
      <c r="I492" s="6" t="n">
        <v>-1957.02</v>
      </c>
      <c r="J492" s="6" t="n">
        <v>-97.47</v>
      </c>
      <c r="K492" s="6" t="n">
        <v>-1.27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45568.766898148</v>
      </c>
      <c r="B493" s="2" t="s">
        <v>126</v>
      </c>
      <c r="C493" s="2" t="s">
        <v>709</v>
      </c>
      <c r="D493" s="2" t="s">
        <v>527</v>
      </c>
      <c r="E493" s="2" t="s">
        <v>124</v>
      </c>
      <c r="F493" s="2" t="s">
        <v>20</v>
      </c>
      <c r="G493" s="7" t="n">
        <v>3</v>
      </c>
      <c r="H493" s="6" t="n">
        <v>144.33333333333</v>
      </c>
      <c r="I493" s="6" t="n">
        <v>-433</v>
      </c>
      <c r="J493" s="6" t="n">
        <v>0</v>
      </c>
      <c r="K493" s="6" t="n">
        <v>-0.13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5" t="n">
        <v>45573.487523148</v>
      </c>
      <c r="B494" s="26" t="s">
        <v>123</v>
      </c>
      <c r="C494" s="26" t="s">
        <v>711</v>
      </c>
      <c r="D494" s="26" t="s">
        <v>528</v>
      </c>
      <c r="E494" s="26" t="s">
        <v>124</v>
      </c>
      <c r="F494" s="26" t="s">
        <v>20</v>
      </c>
      <c r="G494" s="27" t="n">
        <v>-100</v>
      </c>
      <c r="H494" s="28" t="n">
        <v>153.813</v>
      </c>
      <c r="I494" s="28" t="n">
        <v>15381.3</v>
      </c>
      <c r="J494" s="28" t="n">
        <v>0</v>
      </c>
      <c r="K494" s="28" t="n">
        <v>0</v>
      </c>
      <c r="L494" s="28" t="n">
        <v>0</v>
      </c>
      <c r="M494" s="6" t="s">
        <f>=I494+J494+K494+L494</f>
      </c>
      <c r="N494" s="28"/>
      <c r="O494" s="26"/>
    </row>
    <row collapsed="false" customFormat="false" customHeight="false" hidden="false" ht="12.1" outlineLevel="0" r="495">
      <c r="A495" s="33" t="n">
        <v>45573.489421296</v>
      </c>
      <c r="B495" s="34" t="s">
        <v>685</v>
      </c>
      <c r="C495" s="34" t="s">
        <v>766</v>
      </c>
      <c r="D495" s="34" t="s">
        <v>528</v>
      </c>
      <c r="E495" s="34" t="s">
        <v>687</v>
      </c>
      <c r="F495" s="34" t="s">
        <v>20</v>
      </c>
      <c r="G495" s="35" t="n">
        <v>-423</v>
      </c>
      <c r="H495" s="36" t="n">
        <v>13.5277</v>
      </c>
      <c r="I495" s="36" t="n">
        <v>5722.22</v>
      </c>
      <c r="J495" s="36" t="n">
        <v>0</v>
      </c>
      <c r="K495" s="36" t="n">
        <v>-2.86</v>
      </c>
      <c r="L495" s="36" t="n">
        <v>0</v>
      </c>
      <c r="M495" s="6" t="n">
        <v>-423</v>
      </c>
      <c r="N495" s="36"/>
      <c r="O495" s="34"/>
    </row>
    <row collapsed="false" customFormat="false" customHeight="false" hidden="false" ht="12.1" outlineLevel="0" r="496">
      <c r="A496" s="20" t="n">
        <v>45573.577268519</v>
      </c>
      <c r="B496" s="2" t="s">
        <v>161</v>
      </c>
      <c r="C496" s="2" t="s">
        <v>761</v>
      </c>
      <c r="D496" s="2" t="s">
        <v>527</v>
      </c>
      <c r="E496" s="2" t="s">
        <v>137</v>
      </c>
      <c r="F496" s="2" t="s">
        <v>20</v>
      </c>
      <c r="G496" s="7" t="n">
        <v>14</v>
      </c>
      <c r="H496" s="6" t="n">
        <v>68.166</v>
      </c>
      <c r="I496" s="6" t="n">
        <v>-9543.24</v>
      </c>
      <c r="J496" s="6" t="n">
        <v>-484.68</v>
      </c>
      <c r="K496" s="6" t="n">
        <v>-5.97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45573.577905093</v>
      </c>
      <c r="B497" s="2" t="s">
        <v>152</v>
      </c>
      <c r="C497" s="2" t="s">
        <v>762</v>
      </c>
      <c r="D497" s="2" t="s">
        <v>527</v>
      </c>
      <c r="E497" s="2" t="s">
        <v>137</v>
      </c>
      <c r="F497" s="2" t="s">
        <v>20</v>
      </c>
      <c r="G497" s="7" t="n">
        <v>14</v>
      </c>
      <c r="H497" s="6" t="n">
        <v>77.770214285714</v>
      </c>
      <c r="I497" s="6" t="n">
        <v>-10887.83</v>
      </c>
      <c r="J497" s="6" t="n">
        <v>-64.4</v>
      </c>
      <c r="K497" s="6" t="n">
        <v>-6.8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45573.57849537</v>
      </c>
      <c r="B498" s="2" t="s">
        <v>126</v>
      </c>
      <c r="C498" s="2" t="s">
        <v>709</v>
      </c>
      <c r="D498" s="2" t="s">
        <v>527</v>
      </c>
      <c r="E498" s="2" t="s">
        <v>124</v>
      </c>
      <c r="F498" s="2" t="s">
        <v>20</v>
      </c>
      <c r="G498" s="7" t="n">
        <v>1</v>
      </c>
      <c r="H498" s="6" t="n">
        <v>144.34</v>
      </c>
      <c r="I498" s="6" t="n">
        <v>-144.34</v>
      </c>
      <c r="J498" s="6" t="n">
        <v>0</v>
      </c>
      <c r="K498" s="6" t="n">
        <v>-0.04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45574</v>
      </c>
      <c r="B499" s="22" t="s">
        <v>645</v>
      </c>
      <c r="C499" s="22" t="s">
        <v>257</v>
      </c>
      <c r="D499" s="22" t="s">
        <v>645</v>
      </c>
      <c r="E499" s="22" t="s">
        <v>645</v>
      </c>
      <c r="F499" s="22" t="s">
        <v>20</v>
      </c>
      <c r="G499" s="23" t="n">
        <v>1</v>
      </c>
      <c r="H499" s="24" t="n">
        <v>97.12</v>
      </c>
      <c r="I499" s="24" t="n">
        <v>97.12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45574.920347222</v>
      </c>
      <c r="B500" s="2" t="s">
        <v>126</v>
      </c>
      <c r="C500" s="2" t="s">
        <v>709</v>
      </c>
      <c r="D500" s="2" t="s">
        <v>527</v>
      </c>
      <c r="E500" s="2" t="s">
        <v>124</v>
      </c>
      <c r="F500" s="2" t="s">
        <v>20</v>
      </c>
      <c r="G500" s="7" t="n">
        <v>1</v>
      </c>
      <c r="H500" s="6" t="n">
        <v>144.38</v>
      </c>
      <c r="I500" s="6" t="n">
        <v>-144.38</v>
      </c>
      <c r="J500" s="6" t="n">
        <v>0</v>
      </c>
      <c r="K500" s="6" t="n">
        <v>-0.04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0" t="n">
        <v>45593.422118056</v>
      </c>
      <c r="B501" s="2" t="s">
        <v>538</v>
      </c>
      <c r="C501" s="2" t="s">
        <v>673</v>
      </c>
      <c r="D501" s="2" t="s">
        <v>527</v>
      </c>
      <c r="E501" s="2" t="s">
        <v>18</v>
      </c>
      <c r="F501" s="2" t="s">
        <v>20</v>
      </c>
      <c r="G501" s="7" t="n">
        <v>90</v>
      </c>
      <c r="H501" s="6" t="n">
        <v>109.7</v>
      </c>
      <c r="I501" s="6" t="n">
        <v>-9873</v>
      </c>
      <c r="J501" s="6" t="n">
        <v>0</v>
      </c>
      <c r="K501" s="6" t="n">
        <v>-4.94</v>
      </c>
      <c r="L501" s="6" t="n">
        <v>0</v>
      </c>
      <c r="M501" s="6" t="s">
        <f>=I501+J501+K501+L501</f>
      </c>
      <c r="N501" s="6"/>
      <c r="O501" s="2"/>
    </row>
    <row collapsed="false" customFormat="false" customHeight="false" hidden="false" ht="12.1" outlineLevel="0" r="502">
      <c r="A502" s="25" t="n">
        <v>45593.423356481</v>
      </c>
      <c r="B502" s="26" t="s">
        <v>133</v>
      </c>
      <c r="C502" s="26" t="s">
        <v>656</v>
      </c>
      <c r="D502" s="26" t="s">
        <v>528</v>
      </c>
      <c r="E502" s="26" t="s">
        <v>124</v>
      </c>
      <c r="F502" s="26" t="s">
        <v>20</v>
      </c>
      <c r="G502" s="27" t="n">
        <v>-6620</v>
      </c>
      <c r="H502" s="28" t="n">
        <v>1.5085</v>
      </c>
      <c r="I502" s="28" t="n">
        <v>9986.27</v>
      </c>
      <c r="J502" s="28" t="n">
        <v>0</v>
      </c>
      <c r="K502" s="28" t="n">
        <v>0</v>
      </c>
      <c r="L502" s="28" t="n">
        <v>0</v>
      </c>
      <c r="M502" s="6" t="s">
        <f>=I502+J502+K502+L502</f>
      </c>
      <c r="N502" s="28"/>
      <c r="O502" s="26"/>
    </row>
    <row collapsed="false" customFormat="false" customHeight="false" hidden="false" ht="12.1" outlineLevel="0" r="503">
      <c r="A503" s="21" t="n">
        <v>45594</v>
      </c>
      <c r="B503" s="22" t="s">
        <v>645</v>
      </c>
      <c r="C503" s="22" t="s">
        <v>257</v>
      </c>
      <c r="D503" s="22" t="s">
        <v>645</v>
      </c>
      <c r="E503" s="22" t="s">
        <v>645</v>
      </c>
      <c r="F503" s="22" t="s">
        <v>20</v>
      </c>
      <c r="G503" s="23" t="n">
        <v>2</v>
      </c>
      <c r="H503" s="24" t="n">
        <v>793.51</v>
      </c>
      <c r="I503" s="24" t="n">
        <v>1587.02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4"/>
      <c r="O503" s="22"/>
    </row>
    <row collapsed="false" customFormat="false" customHeight="false" hidden="false" ht="12.1" outlineLevel="0" r="504">
      <c r="A504" s="20" t="n">
        <v>45594.423842593</v>
      </c>
      <c r="B504" s="2" t="s">
        <v>131</v>
      </c>
      <c r="C504" s="2" t="s">
        <v>654</v>
      </c>
      <c r="D504" s="2" t="s">
        <v>527</v>
      </c>
      <c r="E504" s="2" t="s">
        <v>124</v>
      </c>
      <c r="F504" s="2" t="s">
        <v>20</v>
      </c>
      <c r="G504" s="7" t="n">
        <v>6</v>
      </c>
      <c r="H504" s="6" t="n">
        <v>122.2</v>
      </c>
      <c r="I504" s="6" t="n">
        <v>-733.2</v>
      </c>
      <c r="J504" s="6" t="n">
        <v>0</v>
      </c>
      <c r="K504" s="6" t="n">
        <v>-0.22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45594.45375</v>
      </c>
      <c r="B505" s="2" t="s">
        <v>17</v>
      </c>
      <c r="C505" s="2" t="s">
        <v>646</v>
      </c>
      <c r="D505" s="2" t="s">
        <v>527</v>
      </c>
      <c r="E505" s="2" t="s">
        <v>18</v>
      </c>
      <c r="F505" s="2" t="s">
        <v>20</v>
      </c>
      <c r="G505" s="7" t="n">
        <v>100</v>
      </c>
      <c r="H505" s="6" t="n">
        <v>443.1</v>
      </c>
      <c r="I505" s="6" t="n">
        <v>-44310</v>
      </c>
      <c r="J505" s="6" t="n">
        <v>0</v>
      </c>
      <c r="K505" s="6" t="n">
        <v>-35.45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5" t="n">
        <v>45594.716076389</v>
      </c>
      <c r="B506" s="26" t="s">
        <v>133</v>
      </c>
      <c r="C506" s="26" t="s">
        <v>656</v>
      </c>
      <c r="D506" s="26" t="s">
        <v>528</v>
      </c>
      <c r="E506" s="26" t="s">
        <v>124</v>
      </c>
      <c r="F506" s="26" t="s">
        <v>20</v>
      </c>
      <c r="G506" s="27" t="n">
        <v>-28750</v>
      </c>
      <c r="H506" s="28" t="n">
        <v>1.509</v>
      </c>
      <c r="I506" s="28" t="n">
        <v>43383.75</v>
      </c>
      <c r="J506" s="28" t="n">
        <v>0</v>
      </c>
      <c r="K506" s="28" t="n">
        <v>0</v>
      </c>
      <c r="L506" s="28" t="n">
        <v>0</v>
      </c>
      <c r="M506" s="6" t="s">
        <f>=I506+J506+K506+L506</f>
      </c>
      <c r="N506" s="28"/>
      <c r="O506" s="26"/>
    </row>
    <row collapsed="false" customFormat="false" customHeight="false" hidden="false" ht="12.1" outlineLevel="0" r="507">
      <c r="A507" s="21" t="n">
        <v>45597</v>
      </c>
      <c r="B507" s="22" t="s">
        <v>720</v>
      </c>
      <c r="C507" s="22" t="s">
        <v>767</v>
      </c>
      <c r="D507" s="22" t="s">
        <v>720</v>
      </c>
      <c r="E507" s="22" t="s">
        <v>720</v>
      </c>
      <c r="F507" s="22" t="s">
        <v>20</v>
      </c>
      <c r="G507" s="23" t="n">
        <v>1</v>
      </c>
      <c r="H507" s="24" t="n">
        <v>328.37</v>
      </c>
      <c r="I507" s="24" t="n">
        <v>328.37</v>
      </c>
      <c r="J507" s="24" t="n">
        <v>0</v>
      </c>
      <c r="K507" s="24" t="n">
        <v>0</v>
      </c>
      <c r="L507" s="24" t="n">
        <v>0</v>
      </c>
      <c r="M507" s="6" t="s">
        <f>=I507+J507+K507+L507</f>
      </c>
      <c r="N507" s="24"/>
      <c r="O507" s="22"/>
    </row>
    <row collapsed="false" customFormat="false" customHeight="false" hidden="false" ht="12.1" outlineLevel="0" r="508">
      <c r="A508" s="20" t="n">
        <v>45597.806273148</v>
      </c>
      <c r="B508" s="2" t="s">
        <v>133</v>
      </c>
      <c r="C508" s="2" t="s">
        <v>656</v>
      </c>
      <c r="D508" s="2" t="s">
        <v>527</v>
      </c>
      <c r="E508" s="2" t="s">
        <v>124</v>
      </c>
      <c r="F508" s="2" t="s">
        <v>20</v>
      </c>
      <c r="G508" s="7" t="n">
        <v>200</v>
      </c>
      <c r="H508" s="6" t="n">
        <v>1.5114</v>
      </c>
      <c r="I508" s="6" t="n">
        <v>-302.28</v>
      </c>
      <c r="J508" s="6" t="n">
        <v>0</v>
      </c>
      <c r="K508" s="6" t="n">
        <v>0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1" t="n">
        <v>45598</v>
      </c>
      <c r="B509" s="22" t="s">
        <v>720</v>
      </c>
      <c r="C509" s="22" t="s">
        <v>750</v>
      </c>
      <c r="D509" s="22" t="s">
        <v>720</v>
      </c>
      <c r="E509" s="22" t="s">
        <v>720</v>
      </c>
      <c r="F509" s="22" t="s">
        <v>20</v>
      </c>
      <c r="G509" s="23" t="n">
        <v>1</v>
      </c>
      <c r="H509" s="24" t="n">
        <v>360.3</v>
      </c>
      <c r="I509" s="24" t="n">
        <v>360.3</v>
      </c>
      <c r="J509" s="24" t="n">
        <v>0</v>
      </c>
      <c r="K509" s="24" t="n">
        <v>0</v>
      </c>
      <c r="L509" s="24" t="n">
        <v>0</v>
      </c>
      <c r="M509" s="6" t="s">
        <f>=I509+J509+K509+L509</f>
      </c>
      <c r="N509" s="24"/>
      <c r="O509" s="22"/>
    </row>
    <row collapsed="false" customFormat="false" customHeight="false" hidden="false" ht="12.1" outlineLevel="0" r="510">
      <c r="A510" s="21" t="n">
        <v>45601</v>
      </c>
      <c r="B510" s="22" t="s">
        <v>645</v>
      </c>
      <c r="C510" s="22" t="s">
        <v>257</v>
      </c>
      <c r="D510" s="22" t="s">
        <v>645</v>
      </c>
      <c r="E510" s="22" t="s">
        <v>645</v>
      </c>
      <c r="F510" s="22" t="s">
        <v>20</v>
      </c>
      <c r="G510" s="23" t="n">
        <v>1</v>
      </c>
      <c r="H510" s="24" t="n">
        <v>130.3</v>
      </c>
      <c r="I510" s="24" t="n">
        <v>130.3</v>
      </c>
      <c r="J510" s="24" t="n">
        <v>0</v>
      </c>
      <c r="K510" s="24" t="n">
        <v>0</v>
      </c>
      <c r="L510" s="24" t="n">
        <v>0</v>
      </c>
      <c r="M510" s="6" t="s">
        <f>=I510+J510+K510+L510</f>
      </c>
      <c r="N510" s="24"/>
      <c r="O510" s="22"/>
    </row>
    <row collapsed="false" customFormat="false" customHeight="false" hidden="false" ht="12.1" outlineLevel="0" r="511">
      <c r="A511" s="20" t="n">
        <v>45602.487789352</v>
      </c>
      <c r="B511" s="2" t="s">
        <v>133</v>
      </c>
      <c r="C511" s="2" t="s">
        <v>656</v>
      </c>
      <c r="D511" s="2" t="s">
        <v>527</v>
      </c>
      <c r="E511" s="2" t="s">
        <v>124</v>
      </c>
      <c r="F511" s="2" t="s">
        <v>20</v>
      </c>
      <c r="G511" s="7" t="n">
        <v>8100</v>
      </c>
      <c r="H511" s="6" t="n">
        <v>1.5154000098765</v>
      </c>
      <c r="I511" s="6" t="n">
        <v>-12274.74</v>
      </c>
      <c r="J511" s="6" t="n">
        <v>0</v>
      </c>
      <c r="K511" s="6" t="n">
        <v>0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5" t="n">
        <v>45602.729525463</v>
      </c>
      <c r="B512" s="26" t="s">
        <v>538</v>
      </c>
      <c r="C512" s="26" t="s">
        <v>673</v>
      </c>
      <c r="D512" s="26" t="s">
        <v>528</v>
      </c>
      <c r="E512" s="26" t="s">
        <v>18</v>
      </c>
      <c r="F512" s="26" t="s">
        <v>20</v>
      </c>
      <c r="G512" s="27" t="n">
        <v>-90</v>
      </c>
      <c r="H512" s="28" t="n">
        <v>130.8</v>
      </c>
      <c r="I512" s="28" t="n">
        <v>11772</v>
      </c>
      <c r="J512" s="28" t="n">
        <v>0</v>
      </c>
      <c r="K512" s="28" t="n">
        <v>-9.42</v>
      </c>
      <c r="L512" s="28" t="n">
        <v>0</v>
      </c>
      <c r="M512" s="6" t="s">
        <f>=I512+J512+K512+L512</f>
      </c>
      <c r="N512" s="28"/>
      <c r="O512" s="26"/>
    </row>
    <row collapsed="false" customFormat="false" customHeight="false" hidden="false" ht="12.1" outlineLevel="0" r="513">
      <c r="A513" s="21" t="n">
        <v>45603</v>
      </c>
      <c r="B513" s="22" t="s">
        <v>645</v>
      </c>
      <c r="C513" s="22" t="s">
        <v>257</v>
      </c>
      <c r="D513" s="22" t="s">
        <v>645</v>
      </c>
      <c r="E513" s="22" t="s">
        <v>645</v>
      </c>
      <c r="F513" s="22" t="s">
        <v>20</v>
      </c>
      <c r="G513" s="23" t="n">
        <v>1</v>
      </c>
      <c r="H513" s="24" t="n">
        <v>12095.41</v>
      </c>
      <c r="I513" s="24" t="n">
        <v>12095.41</v>
      </c>
      <c r="J513" s="24" t="n">
        <v>0</v>
      </c>
      <c r="K513" s="24" t="n">
        <v>0</v>
      </c>
      <c r="L513" s="24" t="n">
        <v>0</v>
      </c>
      <c r="M513" s="6" t="s">
        <f>=I513+J513+K513+L513</f>
      </c>
      <c r="N513" s="24"/>
      <c r="O513" s="22"/>
    </row>
    <row collapsed="false" customFormat="false" customHeight="false" hidden="false" ht="12.1" outlineLevel="0" r="514">
      <c r="A514" s="20" t="n">
        <v>45603.518993056</v>
      </c>
      <c r="B514" s="2" t="s">
        <v>25</v>
      </c>
      <c r="C514" s="2" t="s">
        <v>754</v>
      </c>
      <c r="D514" s="2" t="s">
        <v>527</v>
      </c>
      <c r="E514" s="2" t="s">
        <v>18</v>
      </c>
      <c r="F514" s="2" t="s">
        <v>20</v>
      </c>
      <c r="G514" s="7" t="n">
        <v>500</v>
      </c>
      <c r="H514" s="6" t="n">
        <v>8.505</v>
      </c>
      <c r="I514" s="6" t="n">
        <v>-4252.5</v>
      </c>
      <c r="J514" s="6" t="n">
        <v>0</v>
      </c>
      <c r="K514" s="6" t="n">
        <v>-3.4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45603.60931713</v>
      </c>
      <c r="B515" s="2" t="s">
        <v>133</v>
      </c>
      <c r="C515" s="2" t="s">
        <v>656</v>
      </c>
      <c r="D515" s="2" t="s">
        <v>527</v>
      </c>
      <c r="E515" s="2" t="s">
        <v>124</v>
      </c>
      <c r="F515" s="2" t="s">
        <v>20</v>
      </c>
      <c r="G515" s="7" t="n">
        <v>5150</v>
      </c>
      <c r="H515" s="6" t="n">
        <v>1.516301</v>
      </c>
      <c r="I515" s="6" t="n">
        <v>-7808.95</v>
      </c>
      <c r="J515" s="6" t="n">
        <v>0</v>
      </c>
      <c r="K515" s="6" t="n">
        <v>0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45604.590011574</v>
      </c>
      <c r="B516" s="2" t="s">
        <v>191</v>
      </c>
      <c r="C516" s="2" t="s">
        <v>768</v>
      </c>
      <c r="D516" s="2" t="s">
        <v>527</v>
      </c>
      <c r="E516" s="2" t="s">
        <v>137</v>
      </c>
      <c r="F516" s="2" t="s">
        <v>20</v>
      </c>
      <c r="G516" s="7" t="n">
        <v>5</v>
      </c>
      <c r="H516" s="6" t="n">
        <v>92.14</v>
      </c>
      <c r="I516" s="6" t="n">
        <v>-4607</v>
      </c>
      <c r="J516" s="6" t="n">
        <v>-21.9</v>
      </c>
      <c r="K516" s="6" t="n">
        <v>-2.87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45604.5909375</v>
      </c>
      <c r="B517" s="2" t="s">
        <v>550</v>
      </c>
      <c r="C517" s="2" t="s">
        <v>769</v>
      </c>
      <c r="D517" s="2" t="s">
        <v>527</v>
      </c>
      <c r="E517" s="2" t="s">
        <v>137</v>
      </c>
      <c r="F517" s="2" t="s">
        <v>20</v>
      </c>
      <c r="G517" s="7" t="n">
        <v>5</v>
      </c>
      <c r="H517" s="6" t="n">
        <v>85.3</v>
      </c>
      <c r="I517" s="6" t="n">
        <v>-4265</v>
      </c>
      <c r="J517" s="6" t="n">
        <v>-56.25</v>
      </c>
      <c r="K517" s="6" t="n">
        <v>-2.67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5" t="n">
        <v>45604.592916667</v>
      </c>
      <c r="B518" s="26" t="s">
        <v>133</v>
      </c>
      <c r="C518" s="26" t="s">
        <v>656</v>
      </c>
      <c r="D518" s="26" t="s">
        <v>528</v>
      </c>
      <c r="E518" s="26" t="s">
        <v>124</v>
      </c>
      <c r="F518" s="26" t="s">
        <v>20</v>
      </c>
      <c r="G518" s="27" t="n">
        <v>-5880</v>
      </c>
      <c r="H518" s="28" t="n">
        <v>1.5186</v>
      </c>
      <c r="I518" s="28" t="n">
        <v>8929.37</v>
      </c>
      <c r="J518" s="28" t="n">
        <v>0</v>
      </c>
      <c r="K518" s="28" t="n">
        <v>0</v>
      </c>
      <c r="L518" s="28" t="n">
        <v>0</v>
      </c>
      <c r="M518" s="6" t="s">
        <f>=I518+J518+K518+L518</f>
      </c>
      <c r="N518" s="28"/>
      <c r="O518" s="26"/>
    </row>
    <row collapsed="false" customFormat="false" customHeight="false" hidden="false" ht="12.1" outlineLevel="0" r="519">
      <c r="A519" s="21" t="n">
        <v>45607</v>
      </c>
      <c r="B519" s="22" t="s">
        <v>720</v>
      </c>
      <c r="C519" s="22" t="s">
        <v>770</v>
      </c>
      <c r="D519" s="22" t="s">
        <v>720</v>
      </c>
      <c r="E519" s="22" t="s">
        <v>720</v>
      </c>
      <c r="F519" s="22" t="s">
        <v>20</v>
      </c>
      <c r="G519" s="23" t="n">
        <v>1</v>
      </c>
      <c r="H519" s="24" t="n">
        <v>400</v>
      </c>
      <c r="I519" s="24" t="n">
        <v>400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0" t="n">
        <v>45607.425324074</v>
      </c>
      <c r="B520" s="2" t="s">
        <v>37</v>
      </c>
      <c r="C520" s="2" t="s">
        <v>771</v>
      </c>
      <c r="D520" s="2" t="s">
        <v>527</v>
      </c>
      <c r="E520" s="2" t="s">
        <v>18</v>
      </c>
      <c r="F520" s="2" t="s">
        <v>20</v>
      </c>
      <c r="G520" s="7" t="n">
        <v>50</v>
      </c>
      <c r="H520" s="6" t="n">
        <v>112.44</v>
      </c>
      <c r="I520" s="6" t="n">
        <v>-5622</v>
      </c>
      <c r="J520" s="6" t="n">
        <v>0</v>
      </c>
      <c r="K520" s="6" t="n">
        <v>-4.5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5" t="n">
        <v>45607.427638889</v>
      </c>
      <c r="B521" s="26" t="s">
        <v>133</v>
      </c>
      <c r="C521" s="26" t="s">
        <v>656</v>
      </c>
      <c r="D521" s="26" t="s">
        <v>528</v>
      </c>
      <c r="E521" s="26" t="s">
        <v>124</v>
      </c>
      <c r="F521" s="26" t="s">
        <v>20</v>
      </c>
      <c r="G521" s="27" t="n">
        <v>-3700</v>
      </c>
      <c r="H521" s="28" t="n">
        <v>1.5194</v>
      </c>
      <c r="I521" s="28" t="n">
        <v>5621.78</v>
      </c>
      <c r="J521" s="28" t="n">
        <v>0</v>
      </c>
      <c r="K521" s="28" t="n">
        <v>0</v>
      </c>
      <c r="L521" s="28" t="n">
        <v>0</v>
      </c>
      <c r="M521" s="6" t="s">
        <f>=I521+J521+K521+L521</f>
      </c>
      <c r="N521" s="28"/>
      <c r="O521" s="26"/>
    </row>
    <row collapsed="false" customFormat="false" customHeight="false" hidden="false" ht="12.1" outlineLevel="0" r="522">
      <c r="A522" s="20" t="n">
        <v>45607.752106481</v>
      </c>
      <c r="B522" s="2" t="s">
        <v>133</v>
      </c>
      <c r="C522" s="2" t="s">
        <v>656</v>
      </c>
      <c r="D522" s="2" t="s">
        <v>527</v>
      </c>
      <c r="E522" s="2" t="s">
        <v>124</v>
      </c>
      <c r="F522" s="2" t="s">
        <v>20</v>
      </c>
      <c r="G522" s="7" t="n">
        <v>270</v>
      </c>
      <c r="H522" s="6" t="n">
        <v>1.519519</v>
      </c>
      <c r="I522" s="6" t="n">
        <v>-410.27</v>
      </c>
      <c r="J522" s="6" t="n">
        <v>0</v>
      </c>
      <c r="K522" s="6" t="n">
        <v>0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1" t="n">
        <v>45610</v>
      </c>
      <c r="B523" s="22" t="s">
        <v>720</v>
      </c>
      <c r="C523" s="22" t="s">
        <v>772</v>
      </c>
      <c r="D523" s="22" t="s">
        <v>720</v>
      </c>
      <c r="E523" s="22" t="s">
        <v>720</v>
      </c>
      <c r="F523" s="22" t="s">
        <v>20</v>
      </c>
      <c r="G523" s="23" t="n">
        <v>1</v>
      </c>
      <c r="H523" s="24" t="n">
        <v>500</v>
      </c>
      <c r="I523" s="24" t="n">
        <v>500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0" t="n">
        <v>45610.657800926</v>
      </c>
      <c r="B524" s="2" t="s">
        <v>133</v>
      </c>
      <c r="C524" s="2" t="s">
        <v>656</v>
      </c>
      <c r="D524" s="2" t="s">
        <v>527</v>
      </c>
      <c r="E524" s="2" t="s">
        <v>124</v>
      </c>
      <c r="F524" s="2" t="s">
        <v>20</v>
      </c>
      <c r="G524" s="7" t="n">
        <v>325</v>
      </c>
      <c r="H524" s="6" t="n">
        <v>1.5224</v>
      </c>
      <c r="I524" s="6" t="n">
        <v>-494.78</v>
      </c>
      <c r="J524" s="6" t="n">
        <v>0</v>
      </c>
      <c r="K524" s="6" t="n">
        <v>0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1" t="n">
        <v>45621</v>
      </c>
      <c r="B525" s="22" t="s">
        <v>645</v>
      </c>
      <c r="C525" s="22" t="s">
        <v>257</v>
      </c>
      <c r="D525" s="22" t="s">
        <v>645</v>
      </c>
      <c r="E525" s="22" t="s">
        <v>645</v>
      </c>
      <c r="F525" s="22" t="s">
        <v>20</v>
      </c>
      <c r="G525" s="23" t="n">
        <v>1</v>
      </c>
      <c r="H525" s="24" t="n">
        <v>263.47</v>
      </c>
      <c r="I525" s="24" t="n">
        <v>263.47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45621.762152778</v>
      </c>
      <c r="B526" s="2" t="s">
        <v>22</v>
      </c>
      <c r="C526" s="2" t="s">
        <v>681</v>
      </c>
      <c r="D526" s="2" t="s">
        <v>527</v>
      </c>
      <c r="E526" s="2" t="s">
        <v>18</v>
      </c>
      <c r="F526" s="2" t="s">
        <v>20</v>
      </c>
      <c r="G526" s="7" t="n">
        <v>20</v>
      </c>
      <c r="H526" s="6" t="n">
        <v>230.2</v>
      </c>
      <c r="I526" s="6" t="n">
        <v>-4604</v>
      </c>
      <c r="J526" s="6" t="n">
        <v>0</v>
      </c>
      <c r="K526" s="6" t="n">
        <v>-3.68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5" t="n">
        <v>45621.767384259</v>
      </c>
      <c r="B527" s="26" t="s">
        <v>133</v>
      </c>
      <c r="C527" s="26" t="s">
        <v>656</v>
      </c>
      <c r="D527" s="26" t="s">
        <v>528</v>
      </c>
      <c r="E527" s="26" t="s">
        <v>124</v>
      </c>
      <c r="F527" s="26" t="s">
        <v>20</v>
      </c>
      <c r="G527" s="27" t="n">
        <v>-2850</v>
      </c>
      <c r="H527" s="28" t="n">
        <v>1.531702</v>
      </c>
      <c r="I527" s="28" t="n">
        <v>4365.35</v>
      </c>
      <c r="J527" s="28" t="n">
        <v>0</v>
      </c>
      <c r="K527" s="28" t="n">
        <v>0</v>
      </c>
      <c r="L527" s="28" t="n">
        <v>0</v>
      </c>
      <c r="M527" s="6" t="s">
        <f>=I527+J527+K527+L527</f>
      </c>
      <c r="N527" s="28"/>
      <c r="O527" s="26"/>
    </row>
    <row collapsed="false" customFormat="false" customHeight="false" hidden="false" ht="12.1" outlineLevel="0" r="528">
      <c r="A528" s="21" t="n">
        <v>45622</v>
      </c>
      <c r="B528" s="22" t="s">
        <v>645</v>
      </c>
      <c r="C528" s="22" t="s">
        <v>257</v>
      </c>
      <c r="D528" s="22" t="s">
        <v>645</v>
      </c>
      <c r="E528" s="22" t="s">
        <v>645</v>
      </c>
      <c r="F528" s="22" t="s">
        <v>20</v>
      </c>
      <c r="G528" s="23" t="n">
        <v>1</v>
      </c>
      <c r="H528" s="24" t="n">
        <v>77.44</v>
      </c>
      <c r="I528" s="24" t="n">
        <v>77.44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2"/>
    </row>
    <row collapsed="false" customFormat="false" customHeight="false" hidden="false" ht="12.1" outlineLevel="0" r="529">
      <c r="A529" s="33" t="n">
        <v>45622.623506944</v>
      </c>
      <c r="B529" s="34" t="s">
        <v>685</v>
      </c>
      <c r="C529" s="34" t="s">
        <v>766</v>
      </c>
      <c r="D529" s="34" t="s">
        <v>528</v>
      </c>
      <c r="E529" s="34" t="s">
        <v>687</v>
      </c>
      <c r="F529" s="34" t="s">
        <v>20</v>
      </c>
      <c r="G529" s="35" t="n">
        <v>-500</v>
      </c>
      <c r="H529" s="36" t="n">
        <v>14.4032</v>
      </c>
      <c r="I529" s="36" t="n">
        <v>7201.6</v>
      </c>
      <c r="J529" s="36" t="n">
        <v>0</v>
      </c>
      <c r="K529" s="36" t="n">
        <v>-3.6</v>
      </c>
      <c r="L529" s="36" t="n">
        <v>0</v>
      </c>
      <c r="M529" s="6" t="n">
        <v>-500</v>
      </c>
      <c r="N529" s="36"/>
      <c r="O529" s="34"/>
    </row>
    <row collapsed="false" customFormat="false" customHeight="false" hidden="false" ht="12.1" outlineLevel="0" r="530">
      <c r="A530" s="20" t="n">
        <v>45622.624386574</v>
      </c>
      <c r="B530" s="2" t="s">
        <v>131</v>
      </c>
      <c r="C530" s="2" t="s">
        <v>654</v>
      </c>
      <c r="D530" s="2" t="s">
        <v>527</v>
      </c>
      <c r="E530" s="2" t="s">
        <v>124</v>
      </c>
      <c r="F530" s="2" t="s">
        <v>20</v>
      </c>
      <c r="G530" s="7" t="n">
        <v>60</v>
      </c>
      <c r="H530" s="6" t="n">
        <v>117.85</v>
      </c>
      <c r="I530" s="6" t="n">
        <v>-7071</v>
      </c>
      <c r="J530" s="6" t="n">
        <v>0</v>
      </c>
      <c r="K530" s="6" t="n">
        <v>-2.12</v>
      </c>
      <c r="L530" s="6" t="n">
        <v>0</v>
      </c>
      <c r="M530" s="6" t="s">
        <f>=I530+J530+K530+L530</f>
      </c>
      <c r="N530" s="6"/>
      <c r="O530" s="2"/>
    </row>
    <row collapsed="false" customFormat="false" customHeight="false" hidden="false" ht="12.1" outlineLevel="0" r="531">
      <c r="A531" s="21" t="n">
        <v>45623</v>
      </c>
      <c r="B531" s="22" t="s">
        <v>645</v>
      </c>
      <c r="C531" s="22" t="s">
        <v>257</v>
      </c>
      <c r="D531" s="22" t="s">
        <v>645</v>
      </c>
      <c r="E531" s="22" t="s">
        <v>645</v>
      </c>
      <c r="F531" s="22" t="s">
        <v>20</v>
      </c>
      <c r="G531" s="23" t="n">
        <v>1</v>
      </c>
      <c r="H531" s="24" t="n">
        <v>8400</v>
      </c>
      <c r="I531" s="24" t="n">
        <v>8400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0" t="n">
        <v>45623.621539352</v>
      </c>
      <c r="B532" s="2" t="s">
        <v>22</v>
      </c>
      <c r="C532" s="2" t="s">
        <v>681</v>
      </c>
      <c r="D532" s="2" t="s">
        <v>527</v>
      </c>
      <c r="E532" s="2" t="s">
        <v>18</v>
      </c>
      <c r="F532" s="2" t="s">
        <v>20</v>
      </c>
      <c r="G532" s="7" t="n">
        <v>30</v>
      </c>
      <c r="H532" s="6" t="n">
        <v>224.33</v>
      </c>
      <c r="I532" s="6" t="n">
        <v>-6729.9</v>
      </c>
      <c r="J532" s="6" t="n">
        <v>0</v>
      </c>
      <c r="K532" s="6" t="n">
        <v>-5.38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45623.623518519</v>
      </c>
      <c r="B533" s="2" t="s">
        <v>17</v>
      </c>
      <c r="C533" s="2" t="s">
        <v>646</v>
      </c>
      <c r="D533" s="2" t="s">
        <v>527</v>
      </c>
      <c r="E533" s="2" t="s">
        <v>18</v>
      </c>
      <c r="F533" s="2" t="s">
        <v>20</v>
      </c>
      <c r="G533" s="7" t="n">
        <v>4</v>
      </c>
      <c r="H533" s="6" t="n">
        <v>467.9</v>
      </c>
      <c r="I533" s="6" t="n">
        <v>-1871.6</v>
      </c>
      <c r="J533" s="6" t="n">
        <v>0</v>
      </c>
      <c r="K533" s="6" t="n">
        <v>-1.5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1" t="n">
        <v>45628</v>
      </c>
      <c r="B534" s="22" t="s">
        <v>720</v>
      </c>
      <c r="C534" s="22" t="s">
        <v>750</v>
      </c>
      <c r="D534" s="22" t="s">
        <v>720</v>
      </c>
      <c r="E534" s="22" t="s">
        <v>720</v>
      </c>
      <c r="F534" s="22" t="s">
        <v>20</v>
      </c>
      <c r="G534" s="23" t="n">
        <v>2</v>
      </c>
      <c r="H534" s="24" t="n">
        <v>341.17</v>
      </c>
      <c r="I534" s="24" t="n">
        <v>682.34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0" t="n">
        <v>45628.694224537</v>
      </c>
      <c r="B535" s="2" t="s">
        <v>133</v>
      </c>
      <c r="C535" s="2" t="s">
        <v>656</v>
      </c>
      <c r="D535" s="2" t="s">
        <v>527</v>
      </c>
      <c r="E535" s="2" t="s">
        <v>124</v>
      </c>
      <c r="F535" s="2" t="s">
        <v>20</v>
      </c>
      <c r="G535" s="7" t="n">
        <v>250</v>
      </c>
      <c r="H535" s="6" t="n">
        <v>1.53772</v>
      </c>
      <c r="I535" s="6" t="n">
        <v>-384.43</v>
      </c>
      <c r="J535" s="6" t="n">
        <v>0</v>
      </c>
      <c r="K535" s="6" t="n">
        <v>0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45628.763206019</v>
      </c>
      <c r="B536" s="2" t="s">
        <v>126</v>
      </c>
      <c r="C536" s="2" t="s">
        <v>709</v>
      </c>
      <c r="D536" s="2" t="s">
        <v>527</v>
      </c>
      <c r="E536" s="2" t="s">
        <v>124</v>
      </c>
      <c r="F536" s="2" t="s">
        <v>20</v>
      </c>
      <c r="G536" s="7" t="n">
        <v>2</v>
      </c>
      <c r="H536" s="6" t="n">
        <v>141.6</v>
      </c>
      <c r="I536" s="6" t="n">
        <v>-283.2</v>
      </c>
      <c r="J536" s="6" t="n">
        <v>0</v>
      </c>
      <c r="K536" s="6" t="n">
        <v>-0.09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1" t="n">
        <v>45635</v>
      </c>
      <c r="B537" s="22" t="s">
        <v>720</v>
      </c>
      <c r="C537" s="22" t="s">
        <v>773</v>
      </c>
      <c r="D537" s="22" t="s">
        <v>720</v>
      </c>
      <c r="E537" s="22" t="s">
        <v>720</v>
      </c>
      <c r="F537" s="22" t="s">
        <v>20</v>
      </c>
      <c r="G537" s="23" t="n">
        <v>1</v>
      </c>
      <c r="H537" s="24" t="n">
        <v>3000</v>
      </c>
      <c r="I537" s="24" t="n">
        <v>3000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2"/>
    </row>
    <row collapsed="false" customFormat="false" customHeight="false" hidden="false" ht="12.1" outlineLevel="0" r="538">
      <c r="A538" s="20" t="n">
        <v>45635.776967593</v>
      </c>
      <c r="B538" s="2" t="s">
        <v>123</v>
      </c>
      <c r="C538" s="2" t="s">
        <v>711</v>
      </c>
      <c r="D538" s="2" t="s">
        <v>527</v>
      </c>
      <c r="E538" s="2" t="s">
        <v>124</v>
      </c>
      <c r="F538" s="2" t="s">
        <v>20</v>
      </c>
      <c r="G538" s="7" t="n">
        <v>18</v>
      </c>
      <c r="H538" s="6" t="n">
        <v>159.5</v>
      </c>
      <c r="I538" s="6" t="n">
        <v>-2871</v>
      </c>
      <c r="J538" s="6" t="n">
        <v>0</v>
      </c>
      <c r="K538" s="6" t="n">
        <v>0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1" t="n">
        <v>45636</v>
      </c>
      <c r="B539" s="22" t="s">
        <v>720</v>
      </c>
      <c r="C539" s="22" t="s">
        <v>770</v>
      </c>
      <c r="D539" s="22" t="s">
        <v>720</v>
      </c>
      <c r="E539" s="22" t="s">
        <v>720</v>
      </c>
      <c r="F539" s="22" t="s">
        <v>20</v>
      </c>
      <c r="G539" s="23" t="n">
        <v>1</v>
      </c>
      <c r="H539" s="24" t="n">
        <v>400</v>
      </c>
      <c r="I539" s="24" t="n">
        <v>400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0" t="n">
        <v>45636.721516204</v>
      </c>
      <c r="B540" s="2" t="s">
        <v>131</v>
      </c>
      <c r="C540" s="2" t="s">
        <v>654</v>
      </c>
      <c r="D540" s="2" t="s">
        <v>527</v>
      </c>
      <c r="E540" s="2" t="s">
        <v>124</v>
      </c>
      <c r="F540" s="2" t="s">
        <v>20</v>
      </c>
      <c r="G540" s="7" t="n">
        <v>4</v>
      </c>
      <c r="H540" s="6" t="n">
        <v>119.85</v>
      </c>
      <c r="I540" s="6" t="n">
        <v>-479.4</v>
      </c>
      <c r="J540" s="6" t="n">
        <v>0</v>
      </c>
      <c r="K540" s="6" t="n">
        <v>-0.14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45636.722303241</v>
      </c>
      <c r="B541" s="2" t="s">
        <v>133</v>
      </c>
      <c r="C541" s="2" t="s">
        <v>656</v>
      </c>
      <c r="D541" s="2" t="s">
        <v>527</v>
      </c>
      <c r="E541" s="2" t="s">
        <v>124</v>
      </c>
      <c r="F541" s="2" t="s">
        <v>20</v>
      </c>
      <c r="G541" s="7" t="n">
        <v>55</v>
      </c>
      <c r="H541" s="6" t="n">
        <v>1.544727</v>
      </c>
      <c r="I541" s="6" t="n">
        <v>-84.96</v>
      </c>
      <c r="J541" s="6" t="n">
        <v>0</v>
      </c>
      <c r="K541" s="6" t="n">
        <v>0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1" t="n">
        <v>45637</v>
      </c>
      <c r="B542" s="22" t="s">
        <v>720</v>
      </c>
      <c r="C542" s="22" t="s">
        <v>774</v>
      </c>
      <c r="D542" s="22" t="s">
        <v>720</v>
      </c>
      <c r="E542" s="22" t="s">
        <v>720</v>
      </c>
      <c r="F542" s="22" t="s">
        <v>20</v>
      </c>
      <c r="G542" s="23" t="n">
        <v>1</v>
      </c>
      <c r="H542" s="24" t="n">
        <v>16.56</v>
      </c>
      <c r="I542" s="24" t="n">
        <v>16.56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4"/>
      <c r="O542" s="22"/>
    </row>
    <row collapsed="false" customFormat="false" customHeight="false" hidden="false" ht="12.1" outlineLevel="0" r="543">
      <c r="A543" s="21" t="n">
        <v>45667</v>
      </c>
      <c r="B543" s="22" t="s">
        <v>720</v>
      </c>
      <c r="C543" s="22" t="s">
        <v>775</v>
      </c>
      <c r="D543" s="22" t="s">
        <v>720</v>
      </c>
      <c r="E543" s="22" t="s">
        <v>720</v>
      </c>
      <c r="F543" s="22" t="s">
        <v>20</v>
      </c>
      <c r="G543" s="23" t="n">
        <v>2</v>
      </c>
      <c r="H543" s="24" t="n">
        <v>345.38</v>
      </c>
      <c r="I543" s="24" t="n">
        <v>690.76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45670</v>
      </c>
      <c r="B544" s="22" t="s">
        <v>720</v>
      </c>
      <c r="C544" s="22" t="s">
        <v>770</v>
      </c>
      <c r="D544" s="22" t="s">
        <v>720</v>
      </c>
      <c r="E544" s="22" t="s">
        <v>720</v>
      </c>
      <c r="F544" s="22" t="s">
        <v>20</v>
      </c>
      <c r="G544" s="23" t="n">
        <v>2</v>
      </c>
      <c r="H544" s="24" t="n">
        <v>1200</v>
      </c>
      <c r="I544" s="24" t="n">
        <v>2400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20" t="n">
        <v>45670.461458333</v>
      </c>
      <c r="B545" s="2" t="s">
        <v>133</v>
      </c>
      <c r="C545" s="2" t="s">
        <v>656</v>
      </c>
      <c r="D545" s="2" t="s">
        <v>527</v>
      </c>
      <c r="E545" s="2" t="s">
        <v>124</v>
      </c>
      <c r="F545" s="2" t="s">
        <v>20</v>
      </c>
      <c r="G545" s="7" t="n">
        <v>1960</v>
      </c>
      <c r="H545" s="6" t="n">
        <v>1.5742958163265</v>
      </c>
      <c r="I545" s="6" t="n">
        <v>-3085.62</v>
      </c>
      <c r="J545" s="6" t="n">
        <v>0</v>
      </c>
      <c r="K545" s="6" t="n">
        <v>0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45685.482546296</v>
      </c>
      <c r="B546" s="2" t="s">
        <v>551</v>
      </c>
      <c r="C546" s="2" t="s">
        <v>776</v>
      </c>
      <c r="D546" s="2" t="s">
        <v>527</v>
      </c>
      <c r="E546" s="2" t="s">
        <v>18</v>
      </c>
      <c r="F546" s="2" t="s">
        <v>20</v>
      </c>
      <c r="G546" s="7" t="n">
        <v>1</v>
      </c>
      <c r="H546" s="6" t="n">
        <v>3969.5</v>
      </c>
      <c r="I546" s="6" t="n">
        <v>-3969.5</v>
      </c>
      <c r="J546" s="6" t="n">
        <v>0</v>
      </c>
      <c r="K546" s="6" t="n">
        <v>-3.17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5" t="n">
        <v>45685.485497685</v>
      </c>
      <c r="B547" s="26" t="s">
        <v>133</v>
      </c>
      <c r="C547" s="26" t="s">
        <v>656</v>
      </c>
      <c r="D547" s="26" t="s">
        <v>528</v>
      </c>
      <c r="E547" s="26" t="s">
        <v>124</v>
      </c>
      <c r="F547" s="26" t="s">
        <v>20</v>
      </c>
      <c r="G547" s="27" t="n">
        <v>-2490</v>
      </c>
      <c r="H547" s="28" t="n">
        <v>1.587301</v>
      </c>
      <c r="I547" s="28" t="n">
        <v>3952.38</v>
      </c>
      <c r="J547" s="28" t="n">
        <v>0</v>
      </c>
      <c r="K547" s="28" t="n">
        <v>0</v>
      </c>
      <c r="L547" s="28" t="n">
        <v>0</v>
      </c>
      <c r="M547" s="6" t="s">
        <f>=I547+J547+K547+L547</f>
      </c>
      <c r="N547" s="28"/>
      <c r="O547" s="26"/>
    </row>
    <row collapsed="false" customFormat="false" customHeight="false" hidden="false" ht="12.1" outlineLevel="0" r="548">
      <c r="A548" s="21" t="n">
        <v>45691</v>
      </c>
      <c r="B548" s="22" t="s">
        <v>720</v>
      </c>
      <c r="C548" s="22" t="s">
        <v>777</v>
      </c>
      <c r="D548" s="22" t="s">
        <v>720</v>
      </c>
      <c r="E548" s="22" t="s">
        <v>720</v>
      </c>
      <c r="F548" s="22" t="s">
        <v>20</v>
      </c>
      <c r="G548" s="23" t="n">
        <v>2</v>
      </c>
      <c r="H548" s="24" t="n">
        <v>313.795</v>
      </c>
      <c r="I548" s="24" t="n">
        <v>627.59</v>
      </c>
      <c r="J548" s="24" t="n">
        <v>0</v>
      </c>
      <c r="K548" s="24" t="n">
        <v>0</v>
      </c>
      <c r="L548" s="24" t="n">
        <v>0</v>
      </c>
      <c r="M548" s="6" t="s">
        <f>=I548+J548+K548+L548</f>
      </c>
      <c r="N548" s="24"/>
      <c r="O548" s="22"/>
    </row>
    <row collapsed="false" customFormat="false" customHeight="false" hidden="false" ht="12.1" outlineLevel="0" r="549">
      <c r="A549" s="20" t="n">
        <v>45691.744398148</v>
      </c>
      <c r="B549" s="2" t="s">
        <v>133</v>
      </c>
      <c r="C549" s="2" t="s">
        <v>656</v>
      </c>
      <c r="D549" s="2" t="s">
        <v>527</v>
      </c>
      <c r="E549" s="2" t="s">
        <v>124</v>
      </c>
      <c r="F549" s="2" t="s">
        <v>20</v>
      </c>
      <c r="G549" s="7" t="n">
        <v>392</v>
      </c>
      <c r="H549" s="6" t="n">
        <v>1.592602</v>
      </c>
      <c r="I549" s="6" t="n">
        <v>-624.3</v>
      </c>
      <c r="J549" s="6" t="n">
        <v>0</v>
      </c>
      <c r="K549" s="6" t="n">
        <v>0</v>
      </c>
      <c r="L549" s="6" t="n">
        <v>0</v>
      </c>
      <c r="M549" s="6" t="s">
        <f>=I549+J549+K549+L549</f>
      </c>
      <c r="N549" s="6"/>
      <c r="O549" s="2"/>
    </row>
    <row collapsed="false" customFormat="false" customHeight="false" hidden="false" ht="12.1" outlineLevel="0" r="550">
      <c r="A550" s="25" t="n">
        <v>45695.473842593</v>
      </c>
      <c r="B550" s="26" t="s">
        <v>551</v>
      </c>
      <c r="C550" s="26" t="s">
        <v>776</v>
      </c>
      <c r="D550" s="26" t="s">
        <v>528</v>
      </c>
      <c r="E550" s="26" t="s">
        <v>18</v>
      </c>
      <c r="F550" s="26" t="s">
        <v>20</v>
      </c>
      <c r="G550" s="27" t="n">
        <v>-1</v>
      </c>
      <c r="H550" s="28" t="n">
        <v>4233.5</v>
      </c>
      <c r="I550" s="28" t="n">
        <v>4233.5</v>
      </c>
      <c r="J550" s="28" t="n">
        <v>0</v>
      </c>
      <c r="K550" s="28" t="n">
        <v>-3.39</v>
      </c>
      <c r="L550" s="28" t="n">
        <v>0</v>
      </c>
      <c r="M550" s="6" t="s">
        <f>=I550+J550+K550+L550</f>
      </c>
      <c r="N550" s="28"/>
      <c r="O550" s="26"/>
    </row>
    <row collapsed="false" customFormat="false" customHeight="false" hidden="false" ht="12.1" outlineLevel="0" r="551">
      <c r="A551" s="20" t="n">
        <v>45695.480636574</v>
      </c>
      <c r="B551" s="2" t="s">
        <v>552</v>
      </c>
      <c r="C551" s="2" t="s">
        <v>778</v>
      </c>
      <c r="D551" s="2" t="s">
        <v>527</v>
      </c>
      <c r="E551" s="2" t="s">
        <v>18</v>
      </c>
      <c r="F551" s="2" t="s">
        <v>20</v>
      </c>
      <c r="G551" s="7" t="n">
        <v>10</v>
      </c>
      <c r="H551" s="6" t="n">
        <v>64.07</v>
      </c>
      <c r="I551" s="6" t="n">
        <v>-640.7</v>
      </c>
      <c r="J551" s="6" t="n">
        <v>0</v>
      </c>
      <c r="K551" s="6" t="n">
        <v>-0.51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0" t="n">
        <v>45695.482546296</v>
      </c>
      <c r="B552" s="2" t="s">
        <v>133</v>
      </c>
      <c r="C552" s="2" t="s">
        <v>656</v>
      </c>
      <c r="D552" s="2" t="s">
        <v>527</v>
      </c>
      <c r="E552" s="2" t="s">
        <v>124</v>
      </c>
      <c r="F552" s="2" t="s">
        <v>20</v>
      </c>
      <c r="G552" s="7" t="n">
        <v>2240</v>
      </c>
      <c r="H552" s="6" t="n">
        <v>1.597701</v>
      </c>
      <c r="I552" s="6" t="n">
        <v>-3578.85</v>
      </c>
      <c r="J552" s="6" t="n">
        <v>0</v>
      </c>
      <c r="K552" s="6" t="n">
        <v>0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45695.583113426</v>
      </c>
      <c r="B553" s="2" t="s">
        <v>123</v>
      </c>
      <c r="C553" s="2" t="s">
        <v>711</v>
      </c>
      <c r="D553" s="2" t="s">
        <v>527</v>
      </c>
      <c r="E553" s="2" t="s">
        <v>124</v>
      </c>
      <c r="F553" s="2" t="s">
        <v>20</v>
      </c>
      <c r="G553" s="7" t="n">
        <v>42</v>
      </c>
      <c r="H553" s="6" t="n">
        <v>148.21428571429</v>
      </c>
      <c r="I553" s="6" t="n">
        <v>-6225</v>
      </c>
      <c r="J553" s="6" t="n">
        <v>0</v>
      </c>
      <c r="K553" s="6" t="n">
        <v>0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5" t="n">
        <v>45695.89775463</v>
      </c>
      <c r="B554" s="26" t="s">
        <v>133</v>
      </c>
      <c r="C554" s="26" t="s">
        <v>656</v>
      </c>
      <c r="D554" s="26" t="s">
        <v>528</v>
      </c>
      <c r="E554" s="26" t="s">
        <v>124</v>
      </c>
      <c r="F554" s="26" t="s">
        <v>20</v>
      </c>
      <c r="G554" s="27" t="n">
        <v>-3900</v>
      </c>
      <c r="H554" s="28" t="n">
        <v>1.5976</v>
      </c>
      <c r="I554" s="28" t="n">
        <v>6230.64</v>
      </c>
      <c r="J554" s="28" t="n">
        <v>0</v>
      </c>
      <c r="K554" s="28" t="n">
        <v>0</v>
      </c>
      <c r="L554" s="28" t="n">
        <v>0</v>
      </c>
      <c r="M554" s="6" t="s">
        <f>=I554+J554+K554+L554</f>
      </c>
      <c r="N554" s="28"/>
      <c r="O554" s="26"/>
    </row>
    <row collapsed="false" customFormat="false" customHeight="false" hidden="false" ht="12.1" outlineLevel="0" r="555">
      <c r="A555" s="21" t="n">
        <v>45698</v>
      </c>
      <c r="B555" s="22" t="s">
        <v>720</v>
      </c>
      <c r="C555" s="22" t="s">
        <v>770</v>
      </c>
      <c r="D555" s="22" t="s">
        <v>720</v>
      </c>
      <c r="E555" s="22" t="s">
        <v>720</v>
      </c>
      <c r="F555" s="22" t="s">
        <v>20</v>
      </c>
      <c r="G555" s="23" t="n">
        <v>1</v>
      </c>
      <c r="H555" s="24" t="n">
        <v>400</v>
      </c>
      <c r="I555" s="24" t="n">
        <v>400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0" t="n">
        <v>45698.704618056</v>
      </c>
      <c r="B556" s="2" t="s">
        <v>123</v>
      </c>
      <c r="C556" s="2" t="s">
        <v>711</v>
      </c>
      <c r="D556" s="2" t="s">
        <v>527</v>
      </c>
      <c r="E556" s="2" t="s">
        <v>124</v>
      </c>
      <c r="F556" s="2" t="s">
        <v>20</v>
      </c>
      <c r="G556" s="7" t="n">
        <v>2</v>
      </c>
      <c r="H556" s="6" t="n">
        <v>148.72</v>
      </c>
      <c r="I556" s="6" t="n">
        <v>-297.44</v>
      </c>
      <c r="J556" s="6" t="n">
        <v>0</v>
      </c>
      <c r="K556" s="6" t="n">
        <v>0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45698.705289352</v>
      </c>
      <c r="B557" s="2" t="s">
        <v>133</v>
      </c>
      <c r="C557" s="2" t="s">
        <v>656</v>
      </c>
      <c r="D557" s="2" t="s">
        <v>527</v>
      </c>
      <c r="E557" s="2" t="s">
        <v>124</v>
      </c>
      <c r="F557" s="2" t="s">
        <v>20</v>
      </c>
      <c r="G557" s="7" t="n">
        <v>75</v>
      </c>
      <c r="H557" s="6" t="n">
        <v>1.598667</v>
      </c>
      <c r="I557" s="6" t="n">
        <v>-119.9</v>
      </c>
      <c r="J557" s="6" t="n">
        <v>0</v>
      </c>
      <c r="K557" s="6" t="n">
        <v>0</v>
      </c>
      <c r="L557" s="6" t="n">
        <v>0</v>
      </c>
      <c r="M557" s="6" t="s">
        <f>=I557+J557+K557+L557</f>
      </c>
      <c r="N557" s="6"/>
      <c r="O557" s="2"/>
    </row>
    <row collapsed="false" customFormat="false" customHeight="false" hidden="false" ht="12.1" outlineLevel="0" r="558">
      <c r="A558" s="25" t="n">
        <v>45700.856875</v>
      </c>
      <c r="B558" s="26" t="s">
        <v>552</v>
      </c>
      <c r="C558" s="26" t="s">
        <v>778</v>
      </c>
      <c r="D558" s="26" t="s">
        <v>528</v>
      </c>
      <c r="E558" s="26" t="s">
        <v>18</v>
      </c>
      <c r="F558" s="26" t="s">
        <v>20</v>
      </c>
      <c r="G558" s="27" t="n">
        <v>-10</v>
      </c>
      <c r="H558" s="28" t="n">
        <v>66.78</v>
      </c>
      <c r="I558" s="28" t="n">
        <v>667.8</v>
      </c>
      <c r="J558" s="28" t="n">
        <v>0</v>
      </c>
      <c r="K558" s="28" t="n">
        <v>-0.33</v>
      </c>
      <c r="L558" s="28" t="n">
        <v>0</v>
      </c>
      <c r="M558" s="6" t="s">
        <f>=I558+J558+K558+L558</f>
      </c>
      <c r="N558" s="28"/>
      <c r="O558" s="26"/>
    </row>
    <row collapsed="false" customFormat="false" customHeight="false" hidden="false" ht="12.1" outlineLevel="0" r="559">
      <c r="A559" s="20" t="n">
        <v>45700.945659722</v>
      </c>
      <c r="B559" s="2" t="s">
        <v>133</v>
      </c>
      <c r="C559" s="2" t="s">
        <v>656</v>
      </c>
      <c r="D559" s="2" t="s">
        <v>527</v>
      </c>
      <c r="E559" s="2" t="s">
        <v>124</v>
      </c>
      <c r="F559" s="2" t="s">
        <v>20</v>
      </c>
      <c r="G559" s="7" t="n">
        <v>410</v>
      </c>
      <c r="H559" s="6" t="n">
        <v>1.600512</v>
      </c>
      <c r="I559" s="6" t="n">
        <v>-656.21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1" t="n">
        <v>45701</v>
      </c>
      <c r="B560" s="22" t="s">
        <v>720</v>
      </c>
      <c r="C560" s="22" t="s">
        <v>772</v>
      </c>
      <c r="D560" s="22" t="s">
        <v>720</v>
      </c>
      <c r="E560" s="22" t="s">
        <v>720</v>
      </c>
      <c r="F560" s="22" t="s">
        <v>20</v>
      </c>
      <c r="G560" s="23" t="n">
        <v>1</v>
      </c>
      <c r="H560" s="24" t="n">
        <v>500</v>
      </c>
      <c r="I560" s="24" t="n">
        <v>500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0" t="n">
        <v>45701.728923611</v>
      </c>
      <c r="B561" s="2" t="s">
        <v>126</v>
      </c>
      <c r="C561" s="2" t="s">
        <v>709</v>
      </c>
      <c r="D561" s="2" t="s">
        <v>527</v>
      </c>
      <c r="E561" s="2" t="s">
        <v>124</v>
      </c>
      <c r="F561" s="2" t="s">
        <v>20</v>
      </c>
      <c r="G561" s="7" t="n">
        <v>3</v>
      </c>
      <c r="H561" s="6" t="n">
        <v>154.38</v>
      </c>
      <c r="I561" s="6" t="n">
        <v>-463.14</v>
      </c>
      <c r="J561" s="6" t="n">
        <v>0</v>
      </c>
      <c r="K561" s="6" t="n">
        <v>-0.14</v>
      </c>
      <c r="L561" s="6" t="n">
        <v>0</v>
      </c>
      <c r="M561" s="6" t="s">
        <f>=I561+J561+K561+L561</f>
      </c>
      <c r="N561" s="6"/>
      <c r="O561" s="2"/>
    </row>
    <row collapsed="false" customFormat="false" customHeight="false" hidden="false" ht="12.1" outlineLevel="0" r="562">
      <c r="A562" s="20" t="n">
        <v>45701.845127315</v>
      </c>
      <c r="B562" s="2" t="s">
        <v>133</v>
      </c>
      <c r="C562" s="2" t="s">
        <v>656</v>
      </c>
      <c r="D562" s="2" t="s">
        <v>527</v>
      </c>
      <c r="E562" s="2" t="s">
        <v>124</v>
      </c>
      <c r="F562" s="2" t="s">
        <v>20</v>
      </c>
      <c r="G562" s="7" t="n">
        <v>30</v>
      </c>
      <c r="H562" s="6" t="n">
        <v>1.601333</v>
      </c>
      <c r="I562" s="6" t="n">
        <v>-48.04</v>
      </c>
      <c r="J562" s="6" t="n">
        <v>0</v>
      </c>
      <c r="K562" s="6" t="n">
        <v>0</v>
      </c>
      <c r="L562" s="6" t="n">
        <v>0</v>
      </c>
      <c r="M562" s="6" t="s">
        <f>=I562+J562+K562+L562</f>
      </c>
      <c r="N562" s="6"/>
      <c r="O562" s="2"/>
    </row>
    <row collapsed="false" customFormat="false" customHeight="false" hidden="false" ht="12.1" outlineLevel="0" r="563">
      <c r="A563" s="21" t="n">
        <v>45721</v>
      </c>
      <c r="B563" s="22" t="s">
        <v>720</v>
      </c>
      <c r="C563" s="22" t="s">
        <v>779</v>
      </c>
      <c r="D563" s="22" t="s">
        <v>720</v>
      </c>
      <c r="E563" s="22" t="s">
        <v>720</v>
      </c>
      <c r="F563" s="22" t="s">
        <v>20</v>
      </c>
      <c r="G563" s="23" t="n">
        <v>2</v>
      </c>
      <c r="H563" s="24" t="n">
        <v>290.045</v>
      </c>
      <c r="I563" s="24" t="n">
        <v>580.09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0" t="n">
        <v>45721.440474537</v>
      </c>
      <c r="B564" s="2" t="s">
        <v>133</v>
      </c>
      <c r="C564" s="2" t="s">
        <v>656</v>
      </c>
      <c r="D564" s="2" t="s">
        <v>527</v>
      </c>
      <c r="E564" s="2" t="s">
        <v>124</v>
      </c>
      <c r="F564" s="2" t="s">
        <v>20</v>
      </c>
      <c r="G564" s="7" t="n">
        <v>350</v>
      </c>
      <c r="H564" s="6" t="n">
        <v>1.6192</v>
      </c>
      <c r="I564" s="6" t="n">
        <v>-566.72</v>
      </c>
      <c r="J564" s="6" t="n">
        <v>0</v>
      </c>
      <c r="K564" s="6" t="n">
        <v>0</v>
      </c>
      <c r="L564" s="6" t="n">
        <v>0</v>
      </c>
      <c r="M564" s="6" t="s">
        <f>=I564+J564+K564+L564</f>
      </c>
      <c r="N564" s="6"/>
      <c r="O564" s="2"/>
    </row>
    <row collapsed="false" customFormat="false" customHeight="false" hidden="false" ht="12.1" outlineLevel="0" r="565">
      <c r="A565" s="21" t="n">
        <v>45726</v>
      </c>
      <c r="B565" s="22" t="s">
        <v>720</v>
      </c>
      <c r="C565" s="22" t="s">
        <v>770</v>
      </c>
      <c r="D565" s="22" t="s">
        <v>720</v>
      </c>
      <c r="E565" s="22" t="s">
        <v>720</v>
      </c>
      <c r="F565" s="22" t="s">
        <v>20</v>
      </c>
      <c r="G565" s="23" t="n">
        <v>1</v>
      </c>
      <c r="H565" s="24" t="n">
        <v>400</v>
      </c>
      <c r="I565" s="24" t="n">
        <v>400</v>
      </c>
      <c r="J565" s="24" t="n">
        <v>0</v>
      </c>
      <c r="K565" s="24" t="n">
        <v>0</v>
      </c>
      <c r="L565" s="24" t="n">
        <v>0</v>
      </c>
      <c r="M565" s="6" t="s">
        <f>=I565+J565+K565+L565</f>
      </c>
      <c r="N565" s="24"/>
      <c r="O565" s="22"/>
    </row>
    <row collapsed="false" customFormat="false" customHeight="false" hidden="false" ht="12.1" outlineLevel="0" r="566">
      <c r="A566" s="20" t="n">
        <v>45727.663993056</v>
      </c>
      <c r="B566" s="2" t="s">
        <v>133</v>
      </c>
      <c r="C566" s="2" t="s">
        <v>656</v>
      </c>
      <c r="D566" s="2" t="s">
        <v>527</v>
      </c>
      <c r="E566" s="2" t="s">
        <v>124</v>
      </c>
      <c r="F566" s="2" t="s">
        <v>20</v>
      </c>
      <c r="G566" s="7" t="n">
        <v>250</v>
      </c>
      <c r="H566" s="6" t="n">
        <v>1.6248</v>
      </c>
      <c r="I566" s="6" t="n">
        <v>-406.2</v>
      </c>
      <c r="J566" s="6" t="n">
        <v>0</v>
      </c>
      <c r="K566" s="6" t="n">
        <v>0</v>
      </c>
      <c r="L566" s="6" t="n">
        <v>0</v>
      </c>
      <c r="M566" s="6" t="s">
        <f>=I566+J566+K566+L566</f>
      </c>
      <c r="N566" s="6"/>
      <c r="O566" s="2"/>
    </row>
    <row collapsed="false" customFormat="false" customHeight="false" hidden="false" ht="12.1" outlineLevel="0" r="567">
      <c r="A567" s="21" t="n">
        <v>45728</v>
      </c>
      <c r="B567" s="22" t="s">
        <v>720</v>
      </c>
      <c r="C567" s="22" t="s">
        <v>780</v>
      </c>
      <c r="D567" s="22" t="s">
        <v>720</v>
      </c>
      <c r="E567" s="22" t="s">
        <v>720</v>
      </c>
      <c r="F567" s="22" t="s">
        <v>20</v>
      </c>
      <c r="G567" s="23" t="n">
        <v>1</v>
      </c>
      <c r="H567" s="24" t="n">
        <v>17.25</v>
      </c>
      <c r="I567" s="24" t="n">
        <v>17.25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4"/>
      <c r="O567" s="22"/>
    </row>
    <row collapsed="false" customFormat="false" customHeight="false" hidden="false" ht="12.1" outlineLevel="0" r="568">
      <c r="A568" s="21" t="n">
        <v>45742</v>
      </c>
      <c r="B568" s="22" t="s">
        <v>720</v>
      </c>
      <c r="C568" s="22" t="s">
        <v>765</v>
      </c>
      <c r="D568" s="22" t="s">
        <v>720</v>
      </c>
      <c r="E568" s="22" t="s">
        <v>720</v>
      </c>
      <c r="F568" s="22" t="s">
        <v>20</v>
      </c>
      <c r="G568" s="23" t="n">
        <v>1</v>
      </c>
      <c r="H568" s="24" t="n">
        <v>660</v>
      </c>
      <c r="I568" s="24" t="n">
        <v>660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0" t="n">
        <v>45742.696516204</v>
      </c>
      <c r="B569" s="2" t="s">
        <v>128</v>
      </c>
      <c r="C569" s="2" t="s">
        <v>657</v>
      </c>
      <c r="D569" s="2" t="s">
        <v>527</v>
      </c>
      <c r="E569" s="2" t="s">
        <v>124</v>
      </c>
      <c r="F569" s="2" t="s">
        <v>20</v>
      </c>
      <c r="G569" s="7" t="n">
        <v>320</v>
      </c>
      <c r="H569" s="6" t="n">
        <v>2.087</v>
      </c>
      <c r="I569" s="6" t="n">
        <v>-667.84</v>
      </c>
      <c r="J569" s="6" t="n">
        <v>0</v>
      </c>
      <c r="K569" s="6" t="n">
        <v>-0.21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1" t="n">
        <v>45748</v>
      </c>
      <c r="B570" s="22" t="s">
        <v>720</v>
      </c>
      <c r="C570" s="22" t="s">
        <v>781</v>
      </c>
      <c r="D570" s="22" t="s">
        <v>720</v>
      </c>
      <c r="E570" s="22" t="s">
        <v>720</v>
      </c>
      <c r="F570" s="22" t="s">
        <v>20</v>
      </c>
      <c r="G570" s="23" t="n">
        <v>1</v>
      </c>
      <c r="H570" s="24" t="n">
        <v>255.92</v>
      </c>
      <c r="I570" s="24" t="n">
        <v>255.92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1" t="n">
        <v>45749</v>
      </c>
      <c r="B571" s="22" t="s">
        <v>720</v>
      </c>
      <c r="C571" s="22" t="s">
        <v>750</v>
      </c>
      <c r="D571" s="22" t="s">
        <v>720</v>
      </c>
      <c r="E571" s="22" t="s">
        <v>720</v>
      </c>
      <c r="F571" s="22" t="s">
        <v>20</v>
      </c>
      <c r="G571" s="23" t="n">
        <v>1</v>
      </c>
      <c r="H571" s="24" t="n">
        <v>301.7</v>
      </c>
      <c r="I571" s="24" t="n">
        <v>301.7</v>
      </c>
      <c r="J571" s="24" t="n">
        <v>0</v>
      </c>
      <c r="K571" s="24" t="n">
        <v>0</v>
      </c>
      <c r="L571" s="24" t="n">
        <v>0</v>
      </c>
      <c r="M571" s="6" t="s">
        <f>=I571+J571+K571+L571</f>
      </c>
      <c r="N571" s="24"/>
      <c r="O571" s="22"/>
    </row>
    <row collapsed="false" customFormat="false" customHeight="false" hidden="false" ht="12.1" outlineLevel="0" r="572">
      <c r="A572" s="20" t="n">
        <v>45749.44962963</v>
      </c>
      <c r="B572" s="2" t="s">
        <v>133</v>
      </c>
      <c r="C572" s="2" t="s">
        <v>656</v>
      </c>
      <c r="D572" s="2" t="s">
        <v>527</v>
      </c>
      <c r="E572" s="2" t="s">
        <v>124</v>
      </c>
      <c r="F572" s="2" t="s">
        <v>20</v>
      </c>
      <c r="G572" s="7" t="n">
        <v>250</v>
      </c>
      <c r="H572" s="6" t="n">
        <v>1.64568</v>
      </c>
      <c r="I572" s="6" t="n">
        <v>-411.42</v>
      </c>
      <c r="J572" s="6" t="n">
        <v>0</v>
      </c>
      <c r="K572" s="6" t="n">
        <v>0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45749.754791667</v>
      </c>
      <c r="B573" s="2" t="s">
        <v>126</v>
      </c>
      <c r="C573" s="2" t="s">
        <v>709</v>
      </c>
      <c r="D573" s="2" t="s">
        <v>527</v>
      </c>
      <c r="E573" s="2" t="s">
        <v>124</v>
      </c>
      <c r="F573" s="2" t="s">
        <v>20</v>
      </c>
      <c r="G573" s="7" t="n">
        <v>1</v>
      </c>
      <c r="H573" s="6" t="n">
        <v>159.5</v>
      </c>
      <c r="I573" s="6" t="n">
        <v>-159.5</v>
      </c>
      <c r="J573" s="6" t="n">
        <v>0</v>
      </c>
      <c r="K573" s="6" t="n">
        <v>-0.05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25" t="n">
        <v>45755.929513889</v>
      </c>
      <c r="B574" s="26" t="s">
        <v>549</v>
      </c>
      <c r="C574" s="26" t="s">
        <v>758</v>
      </c>
      <c r="D574" s="26" t="s">
        <v>528</v>
      </c>
      <c r="E574" s="26" t="s">
        <v>18</v>
      </c>
      <c r="F574" s="26" t="s">
        <v>20</v>
      </c>
      <c r="G574" s="27" t="n">
        <v>-5</v>
      </c>
      <c r="H574" s="28" t="n">
        <v>405</v>
      </c>
      <c r="I574" s="28" t="n">
        <v>2025</v>
      </c>
      <c r="J574" s="28" t="n">
        <v>0</v>
      </c>
      <c r="K574" s="28" t="n">
        <v>-1.62</v>
      </c>
      <c r="L574" s="28" t="n">
        <v>0</v>
      </c>
      <c r="M574" s="6" t="s">
        <f>=I574+J574+K574+L574</f>
      </c>
      <c r="N574" s="28"/>
      <c r="O574" s="26"/>
    </row>
    <row collapsed="false" customFormat="false" customHeight="false" hidden="false" ht="12.1" outlineLevel="0" r="575">
      <c r="A575" s="21" t="n">
        <v>45757</v>
      </c>
      <c r="B575" s="22" t="s">
        <v>720</v>
      </c>
      <c r="C575" s="22" t="s">
        <v>770</v>
      </c>
      <c r="D575" s="22" t="s">
        <v>720</v>
      </c>
      <c r="E575" s="22" t="s">
        <v>720</v>
      </c>
      <c r="F575" s="22" t="s">
        <v>20</v>
      </c>
      <c r="G575" s="23" t="n">
        <v>1</v>
      </c>
      <c r="H575" s="24" t="n">
        <v>400</v>
      </c>
      <c r="I575" s="24" t="n">
        <v>400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0" t="n">
        <v>45757.751851852</v>
      </c>
      <c r="B576" s="2" t="s">
        <v>128</v>
      </c>
      <c r="C576" s="2" t="s">
        <v>657</v>
      </c>
      <c r="D576" s="2" t="s">
        <v>527</v>
      </c>
      <c r="E576" s="2" t="s">
        <v>124</v>
      </c>
      <c r="F576" s="2" t="s">
        <v>20</v>
      </c>
      <c r="G576" s="7" t="n">
        <v>1100</v>
      </c>
      <c r="H576" s="6" t="n">
        <v>2.1795</v>
      </c>
      <c r="I576" s="6" t="n">
        <v>-2397.45</v>
      </c>
      <c r="J576" s="6" t="n">
        <v>0</v>
      </c>
      <c r="K576" s="6" t="n">
        <v>-0.72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1" t="n">
        <v>45782</v>
      </c>
      <c r="B577" s="22" t="s">
        <v>720</v>
      </c>
      <c r="C577" s="22" t="s">
        <v>750</v>
      </c>
      <c r="D577" s="22" t="s">
        <v>720</v>
      </c>
      <c r="E577" s="22" t="s">
        <v>720</v>
      </c>
      <c r="F577" s="22" t="s">
        <v>20</v>
      </c>
      <c r="G577" s="23" t="n">
        <v>1</v>
      </c>
      <c r="H577" s="24" t="n">
        <v>309</v>
      </c>
      <c r="I577" s="24" t="n">
        <v>309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45783</v>
      </c>
      <c r="B578" s="22" t="s">
        <v>720</v>
      </c>
      <c r="C578" s="22" t="s">
        <v>781</v>
      </c>
      <c r="D578" s="22" t="s">
        <v>720</v>
      </c>
      <c r="E578" s="22" t="s">
        <v>720</v>
      </c>
      <c r="F578" s="22" t="s">
        <v>20</v>
      </c>
      <c r="G578" s="23" t="n">
        <v>1</v>
      </c>
      <c r="H578" s="24" t="n">
        <v>253.82</v>
      </c>
      <c r="I578" s="24" t="n">
        <v>253.82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0" t="n">
        <v>45783.451458333</v>
      </c>
      <c r="B579" s="2" t="s">
        <v>123</v>
      </c>
      <c r="C579" s="2" t="s">
        <v>711</v>
      </c>
      <c r="D579" s="2" t="s">
        <v>527</v>
      </c>
      <c r="E579" s="2" t="s">
        <v>124</v>
      </c>
      <c r="F579" s="2" t="s">
        <v>20</v>
      </c>
      <c r="G579" s="7" t="n">
        <v>2</v>
      </c>
      <c r="H579" s="6" t="n">
        <v>126.04</v>
      </c>
      <c r="I579" s="6" t="n">
        <v>-252.08</v>
      </c>
      <c r="J579" s="6" t="n">
        <v>0</v>
      </c>
      <c r="K579" s="6" t="n">
        <v>0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45789.435625</v>
      </c>
      <c r="B580" s="2" t="s">
        <v>123</v>
      </c>
      <c r="C580" s="2" t="s">
        <v>711</v>
      </c>
      <c r="D580" s="2" t="s">
        <v>527</v>
      </c>
      <c r="E580" s="2" t="s">
        <v>124</v>
      </c>
      <c r="F580" s="2" t="s">
        <v>20</v>
      </c>
      <c r="G580" s="7" t="n">
        <v>2</v>
      </c>
      <c r="H580" s="6" t="n">
        <v>126.15</v>
      </c>
      <c r="I580" s="6" t="n">
        <v>-252.3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6"/>
      <c r="O580" s="2"/>
    </row>
    <row collapsed="false" customFormat="false" customHeight="false" hidden="false" ht="12.1" outlineLevel="0" r="581">
      <c r="A581" s="20" t="n">
        <v>45789.436087963</v>
      </c>
      <c r="B581" s="2" t="s">
        <v>128</v>
      </c>
      <c r="C581" s="2" t="s">
        <v>657</v>
      </c>
      <c r="D581" s="2" t="s">
        <v>527</v>
      </c>
      <c r="E581" s="2" t="s">
        <v>124</v>
      </c>
      <c r="F581" s="2" t="s">
        <v>20</v>
      </c>
      <c r="G581" s="7" t="n">
        <v>35</v>
      </c>
      <c r="H581" s="6" t="n">
        <v>2.1425</v>
      </c>
      <c r="I581" s="6" t="n">
        <v>-74.99</v>
      </c>
      <c r="J581" s="6" t="n">
        <v>0</v>
      </c>
      <c r="K581" s="6" t="n">
        <v>-0.02</v>
      </c>
      <c r="L581" s="6" t="n">
        <v>0</v>
      </c>
      <c r="M581" s="6" t="s">
        <f>=I581+J581+K581+L581</f>
      </c>
      <c r="N581" s="6"/>
      <c r="O581" s="2"/>
    </row>
    <row collapsed="false" customFormat="false" customHeight="false" hidden="false" ht="12.1" outlineLevel="0" r="582">
      <c r="A582" s="20" t="n">
        <v>45790.882164352</v>
      </c>
      <c r="B582" s="2" t="s">
        <v>123</v>
      </c>
      <c r="C582" s="2" t="s">
        <v>711</v>
      </c>
      <c r="D582" s="2" t="s">
        <v>527</v>
      </c>
      <c r="E582" s="2" t="s">
        <v>124</v>
      </c>
      <c r="F582" s="2" t="s">
        <v>20</v>
      </c>
      <c r="G582" s="7" t="n">
        <v>3</v>
      </c>
      <c r="H582" s="6" t="n">
        <v>124.96</v>
      </c>
      <c r="I582" s="6" t="n">
        <v>-374.88</v>
      </c>
      <c r="J582" s="6" t="n">
        <v>0</v>
      </c>
      <c r="K582" s="6" t="n">
        <v>0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45803.48224537</v>
      </c>
      <c r="B583" s="2" t="s">
        <v>128</v>
      </c>
      <c r="C583" s="2" t="s">
        <v>657</v>
      </c>
      <c r="D583" s="2" t="s">
        <v>527</v>
      </c>
      <c r="E583" s="2" t="s">
        <v>124</v>
      </c>
      <c r="F583" s="2" t="s">
        <v>20</v>
      </c>
      <c r="G583" s="7" t="n">
        <v>19</v>
      </c>
      <c r="H583" s="6" t="n">
        <v>2.1415</v>
      </c>
      <c r="I583" s="6" t="n">
        <v>-40.69</v>
      </c>
      <c r="J583" s="6" t="n">
        <v>0</v>
      </c>
      <c r="K583" s="6" t="n">
        <v>-0.02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1" t="n">
        <v>45810</v>
      </c>
      <c r="B584" s="22" t="s">
        <v>720</v>
      </c>
      <c r="C584" s="22" t="s">
        <v>782</v>
      </c>
      <c r="D584" s="22" t="s">
        <v>720</v>
      </c>
      <c r="E584" s="22" t="s">
        <v>720</v>
      </c>
      <c r="F584" s="22" t="s">
        <v>20</v>
      </c>
      <c r="G584" s="23" t="n">
        <v>2</v>
      </c>
      <c r="H584" s="24" t="n">
        <v>271.36</v>
      </c>
      <c r="I584" s="24" t="n">
        <v>542.72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4"/>
      <c r="O584" s="22"/>
    </row>
    <row collapsed="false" customFormat="false" customHeight="false" hidden="false" ht="12.1" outlineLevel="0" r="585">
      <c r="A585" s="20" t="n">
        <v>45810.796597222</v>
      </c>
      <c r="B585" s="2" t="s">
        <v>133</v>
      </c>
      <c r="C585" s="2" t="s">
        <v>656</v>
      </c>
      <c r="D585" s="2" t="s">
        <v>527</v>
      </c>
      <c r="E585" s="2" t="s">
        <v>124</v>
      </c>
      <c r="F585" s="2" t="s">
        <v>20</v>
      </c>
      <c r="G585" s="7" t="n">
        <v>300</v>
      </c>
      <c r="H585" s="6" t="n">
        <v>1.7035</v>
      </c>
      <c r="I585" s="6" t="n">
        <v>-511.05</v>
      </c>
      <c r="J585" s="6" t="n">
        <v>0</v>
      </c>
      <c r="K585" s="6" t="n">
        <v>0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1" t="n">
        <v>45817</v>
      </c>
      <c r="B586" s="22" t="s">
        <v>720</v>
      </c>
      <c r="C586" s="22" t="s">
        <v>783</v>
      </c>
      <c r="D586" s="22" t="s">
        <v>720</v>
      </c>
      <c r="E586" s="22" t="s">
        <v>720</v>
      </c>
      <c r="F586" s="22" t="s">
        <v>20</v>
      </c>
      <c r="G586" s="23" t="n">
        <v>2</v>
      </c>
      <c r="H586" s="24" t="n">
        <v>400</v>
      </c>
      <c r="I586" s="24" t="n">
        <v>800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4"/>
      <c r="O586" s="22"/>
    </row>
    <row collapsed="false" customFormat="false" customHeight="false" hidden="false" ht="12.1" outlineLevel="0" r="587">
      <c r="A587" s="20" t="n">
        <v>45817.866747685</v>
      </c>
      <c r="B587" s="2" t="s">
        <v>128</v>
      </c>
      <c r="C587" s="2" t="s">
        <v>657</v>
      </c>
      <c r="D587" s="2" t="s">
        <v>527</v>
      </c>
      <c r="E587" s="2" t="s">
        <v>124</v>
      </c>
      <c r="F587" s="2" t="s">
        <v>20</v>
      </c>
      <c r="G587" s="7" t="n">
        <v>200</v>
      </c>
      <c r="H587" s="6" t="n">
        <v>2.13</v>
      </c>
      <c r="I587" s="6" t="n">
        <v>-426</v>
      </c>
      <c r="J587" s="6" t="n">
        <v>0</v>
      </c>
      <c r="K587" s="6" t="n">
        <v>-0.12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1" t="n">
        <v>45820</v>
      </c>
      <c r="B588" s="22" t="s">
        <v>720</v>
      </c>
      <c r="C588" s="22" t="s">
        <v>784</v>
      </c>
      <c r="D588" s="22" t="s">
        <v>720</v>
      </c>
      <c r="E588" s="22" t="s">
        <v>720</v>
      </c>
      <c r="F588" s="22" t="s">
        <v>20</v>
      </c>
      <c r="G588" s="23" t="n">
        <v>2</v>
      </c>
      <c r="H588" s="24" t="n">
        <v>17.38</v>
      </c>
      <c r="I588" s="24" t="n">
        <v>34.76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4"/>
      <c r="O588" s="22"/>
    </row>
    <row collapsed="false" customFormat="false" customHeight="false" hidden="false" ht="12.1" outlineLevel="0" r="589">
      <c r="A589" s="21" t="n">
        <v>45840.020636574</v>
      </c>
      <c r="B589" s="22" t="s">
        <v>720</v>
      </c>
      <c r="C589" s="22" t="s">
        <v>785</v>
      </c>
      <c r="D589" s="22" t="s">
        <v>720</v>
      </c>
      <c r="E589" s="22" t="s">
        <v>720</v>
      </c>
      <c r="F589" s="22" t="s">
        <v>20</v>
      </c>
      <c r="G589" s="23" t="n">
        <v>1</v>
      </c>
      <c r="H589" s="24" t="n">
        <v>227.15</v>
      </c>
      <c r="I589" s="24" t="n">
        <v>227.15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0" t="n">
        <v>45840.738252315</v>
      </c>
      <c r="B590" s="2" t="s">
        <v>128</v>
      </c>
      <c r="C590" s="2" t="s">
        <v>657</v>
      </c>
      <c r="D590" s="2" t="s">
        <v>527</v>
      </c>
      <c r="E590" s="2" t="s">
        <v>124</v>
      </c>
      <c r="F590" s="2" t="s">
        <v>20</v>
      </c>
      <c r="G590" s="7" t="n">
        <v>100</v>
      </c>
      <c r="H590" s="6" t="n">
        <v>2.1085</v>
      </c>
      <c r="I590" s="6" t="n">
        <v>-210.85</v>
      </c>
      <c r="J590" s="6" t="n">
        <v>0</v>
      </c>
      <c r="K590" s="6" t="n">
        <v>-0.07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1" t="n">
        <v>45841.020636574</v>
      </c>
      <c r="B591" s="22" t="s">
        <v>720</v>
      </c>
      <c r="C591" s="22" t="s">
        <v>786</v>
      </c>
      <c r="D591" s="22" t="s">
        <v>720</v>
      </c>
      <c r="E591" s="22" t="s">
        <v>720</v>
      </c>
      <c r="F591" s="22" t="s">
        <v>20</v>
      </c>
      <c r="G591" s="23" t="n">
        <v>1</v>
      </c>
      <c r="H591" s="24" t="n">
        <v>296.1</v>
      </c>
      <c r="I591" s="24" t="n">
        <v>296.1</v>
      </c>
      <c r="J591" s="24" t="n">
        <v>0</v>
      </c>
      <c r="K591" s="24" t="n">
        <v>0</v>
      </c>
      <c r="L591" s="24" t="n">
        <v>0</v>
      </c>
      <c r="M591" s="6" t="s">
        <f>=I591+J591+K591+L591</f>
      </c>
      <c r="N591" s="24"/>
      <c r="O591" s="22"/>
    </row>
    <row collapsed="false" customFormat="false" customHeight="false" hidden="false" ht="12.1" outlineLevel="0" r="592">
      <c r="A592" s="21" t="n">
        <v>45846.020636574</v>
      </c>
      <c r="B592" s="22" t="s">
        <v>720</v>
      </c>
      <c r="C592" s="22" t="s">
        <v>783</v>
      </c>
      <c r="D592" s="22" t="s">
        <v>720</v>
      </c>
      <c r="E592" s="22" t="s">
        <v>720</v>
      </c>
      <c r="F592" s="22" t="s">
        <v>20</v>
      </c>
      <c r="G592" s="23" t="n">
        <v>1</v>
      </c>
      <c r="H592" s="24" t="n">
        <v>400</v>
      </c>
      <c r="I592" s="24" t="n">
        <v>400</v>
      </c>
      <c r="J592" s="24" t="n">
        <v>0</v>
      </c>
      <c r="K592" s="24" t="n">
        <v>0</v>
      </c>
      <c r="L592" s="24" t="n">
        <v>0</v>
      </c>
      <c r="M592" s="6" t="s">
        <f>=I592+J592+K592+L592</f>
      </c>
      <c r="N592" s="24"/>
      <c r="O592" s="22"/>
    </row>
    <row collapsed="false" customFormat="false" customHeight="false" hidden="false" ht="12.1" outlineLevel="0" r="593">
      <c r="A593" s="20" t="n">
        <v>45846.965925926</v>
      </c>
      <c r="B593" s="2" t="s">
        <v>128</v>
      </c>
      <c r="C593" s="2" t="s">
        <v>657</v>
      </c>
      <c r="D593" s="2" t="s">
        <v>527</v>
      </c>
      <c r="E593" s="2" t="s">
        <v>124</v>
      </c>
      <c r="F593" s="2" t="s">
        <v>20</v>
      </c>
      <c r="G593" s="7" t="n">
        <v>350</v>
      </c>
      <c r="H593" s="6" t="n">
        <v>2.0835</v>
      </c>
      <c r="I593" s="6" t="n">
        <v>-729.23</v>
      </c>
      <c r="J593" s="6" t="n">
        <v>0</v>
      </c>
      <c r="K593" s="6" t="n">
        <v>-0.22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1" t="n">
        <v>45849.020636574</v>
      </c>
      <c r="B594" s="22" t="s">
        <v>720</v>
      </c>
      <c r="C594" s="22" t="s">
        <v>787</v>
      </c>
      <c r="D594" s="22" t="s">
        <v>720</v>
      </c>
      <c r="E594" s="22" t="s">
        <v>720</v>
      </c>
      <c r="F594" s="22" t="s">
        <v>20</v>
      </c>
      <c r="G594" s="23" t="n">
        <v>1</v>
      </c>
      <c r="H594" s="24" t="n">
        <v>5000</v>
      </c>
      <c r="I594" s="24" t="n">
        <v>5000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0" t="n">
        <v>45849.996273148</v>
      </c>
      <c r="B595" s="2" t="s">
        <v>133</v>
      </c>
      <c r="C595" s="2" t="s">
        <v>656</v>
      </c>
      <c r="D595" s="2" t="s">
        <v>527</v>
      </c>
      <c r="E595" s="2" t="s">
        <v>124</v>
      </c>
      <c r="F595" s="2" t="s">
        <v>20</v>
      </c>
      <c r="G595" s="7" t="n">
        <v>2850</v>
      </c>
      <c r="H595" s="6" t="n">
        <v>1.7424</v>
      </c>
      <c r="I595" s="6" t="n">
        <v>-4965.84</v>
      </c>
      <c r="J595" s="6" t="n">
        <v>0</v>
      </c>
      <c r="K595" s="6" t="n">
        <v>0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45852.421539352</v>
      </c>
      <c r="B596" s="2" t="s">
        <v>533</v>
      </c>
      <c r="C596" s="2" t="s">
        <v>652</v>
      </c>
      <c r="D596" s="2" t="s">
        <v>527</v>
      </c>
      <c r="E596" s="2" t="s">
        <v>18</v>
      </c>
      <c r="F596" s="2" t="s">
        <v>20</v>
      </c>
      <c r="G596" s="7" t="n">
        <v>50</v>
      </c>
      <c r="H596" s="6" t="n">
        <v>108.3</v>
      </c>
      <c r="I596" s="6" t="n">
        <v>-5415</v>
      </c>
      <c r="J596" s="6" t="n">
        <v>0</v>
      </c>
      <c r="K596" s="6" t="n">
        <v>-2.71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5" t="n">
        <v>45852.42244213</v>
      </c>
      <c r="B597" s="26" t="s">
        <v>133</v>
      </c>
      <c r="C597" s="26" t="s">
        <v>656</v>
      </c>
      <c r="D597" s="26" t="s">
        <v>528</v>
      </c>
      <c r="E597" s="26" t="s">
        <v>124</v>
      </c>
      <c r="F597" s="26" t="s">
        <v>20</v>
      </c>
      <c r="G597" s="27" t="n">
        <v>-3100</v>
      </c>
      <c r="H597" s="28" t="n">
        <v>1.7432</v>
      </c>
      <c r="I597" s="28" t="n">
        <v>5403.92</v>
      </c>
      <c r="J597" s="28" t="n">
        <v>0</v>
      </c>
      <c r="K597" s="28" t="n">
        <v>0</v>
      </c>
      <c r="L597" s="28" t="n">
        <v>0</v>
      </c>
      <c r="M597" s="6" t="s">
        <f>=I597+J597+K597+L597</f>
      </c>
      <c r="N597" s="28"/>
      <c r="O597" s="26"/>
    </row>
    <row collapsed="false" customFormat="false" customHeight="false" hidden="false" ht="12.1" outlineLevel="0" r="598">
      <c r="A598" s="25" t="n">
        <v>45855.487581019</v>
      </c>
      <c r="B598" s="26" t="s">
        <v>534</v>
      </c>
      <c r="C598" s="26" t="s">
        <v>655</v>
      </c>
      <c r="D598" s="26" t="s">
        <v>528</v>
      </c>
      <c r="E598" s="26" t="s">
        <v>18</v>
      </c>
      <c r="F598" s="26" t="s">
        <v>20</v>
      </c>
      <c r="G598" s="27" t="n">
        <v>-10</v>
      </c>
      <c r="H598" s="28" t="n">
        <v>325.25</v>
      </c>
      <c r="I598" s="28" t="n">
        <v>3252.5</v>
      </c>
      <c r="J598" s="28" t="n">
        <v>0</v>
      </c>
      <c r="K598" s="28" t="n">
        <v>-2.6</v>
      </c>
      <c r="L598" s="28" t="n">
        <v>0</v>
      </c>
      <c r="M598" s="6" t="s">
        <f>=I598+J598+K598+L598</f>
      </c>
      <c r="N598" s="28"/>
      <c r="O598" s="26"/>
    </row>
    <row collapsed="false" customFormat="false" customHeight="false" hidden="false" ht="12.1" outlineLevel="0" r="599">
      <c r="A599" s="20" t="n">
        <v>45855.488703704</v>
      </c>
      <c r="B599" s="2" t="s">
        <v>133</v>
      </c>
      <c r="C599" s="2" t="s">
        <v>656</v>
      </c>
      <c r="D599" s="2" t="s">
        <v>527</v>
      </c>
      <c r="E599" s="2" t="s">
        <v>124</v>
      </c>
      <c r="F599" s="2" t="s">
        <v>20</v>
      </c>
      <c r="G599" s="7" t="n">
        <v>1850</v>
      </c>
      <c r="H599" s="6" t="n">
        <v>1.746</v>
      </c>
      <c r="I599" s="6" t="n">
        <v>-3230.1</v>
      </c>
      <c r="J599" s="6" t="n">
        <v>0</v>
      </c>
      <c r="K599" s="6" t="n">
        <v>0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1" t="n">
        <v>45871.020636574</v>
      </c>
      <c r="B600" s="22" t="s">
        <v>720</v>
      </c>
      <c r="C600" s="22" t="s">
        <v>788</v>
      </c>
      <c r="D600" s="22" t="s">
        <v>720</v>
      </c>
      <c r="E600" s="22" t="s">
        <v>720</v>
      </c>
      <c r="F600" s="22" t="s">
        <v>20</v>
      </c>
      <c r="G600" s="23" t="n">
        <v>1</v>
      </c>
      <c r="H600" s="24" t="n">
        <v>229.6</v>
      </c>
      <c r="I600" s="24" t="n">
        <v>229.6</v>
      </c>
      <c r="J600" s="24" t="n">
        <v>0</v>
      </c>
      <c r="K600" s="24" t="n">
        <v>0</v>
      </c>
      <c r="L600" s="24" t="n">
        <v>0</v>
      </c>
      <c r="M600" s="6" t="s">
        <f>=I600+J600+K600+L600</f>
      </c>
      <c r="N600" s="24"/>
      <c r="O600" s="22"/>
    </row>
    <row collapsed="false" customFormat="false" customHeight="false" hidden="false" ht="12.1" outlineLevel="0" r="601">
      <c r="A601" s="21" t="n">
        <v>45874.020636574</v>
      </c>
      <c r="B601" s="22" t="s">
        <v>720</v>
      </c>
      <c r="C601" s="22" t="s">
        <v>789</v>
      </c>
      <c r="D601" s="22" t="s">
        <v>720</v>
      </c>
      <c r="E601" s="22" t="s">
        <v>720</v>
      </c>
      <c r="F601" s="22" t="s">
        <v>20</v>
      </c>
      <c r="G601" s="23" t="n">
        <v>1</v>
      </c>
      <c r="H601" s="24" t="n">
        <v>281.9</v>
      </c>
      <c r="I601" s="24" t="n">
        <v>281.9</v>
      </c>
      <c r="J601" s="24" t="n">
        <v>0</v>
      </c>
      <c r="K601" s="24" t="n">
        <v>0</v>
      </c>
      <c r="L601" s="24" t="n">
        <v>0</v>
      </c>
      <c r="M601" s="6" t="s">
        <f>=I601+J601+K601+L601</f>
      </c>
      <c r="N601" s="24"/>
      <c r="O601" s="22"/>
    </row>
    <row collapsed="false" customFormat="false" customHeight="false" hidden="false" ht="12.1" outlineLevel="0" r="602">
      <c r="A602" s="20" t="n">
        <v>45874.422858796</v>
      </c>
      <c r="B602" s="2" t="s">
        <v>133</v>
      </c>
      <c r="C602" s="2" t="s">
        <v>656</v>
      </c>
      <c r="D602" s="2" t="s">
        <v>527</v>
      </c>
      <c r="E602" s="2" t="s">
        <v>124</v>
      </c>
      <c r="F602" s="2" t="s">
        <v>20</v>
      </c>
      <c r="G602" s="7" t="n">
        <v>150</v>
      </c>
      <c r="H602" s="6" t="n">
        <v>1.7627</v>
      </c>
      <c r="I602" s="6" t="n">
        <v>-264.41</v>
      </c>
      <c r="J602" s="6" t="n">
        <v>0</v>
      </c>
      <c r="K602" s="6" t="n">
        <v>0</v>
      </c>
      <c r="L602" s="6" t="n">
        <v>0</v>
      </c>
      <c r="M602" s="6" t="s">
        <f>=I602+J602+K602+L602</f>
      </c>
      <c r="N602" s="6"/>
      <c r="O602" s="2"/>
    </row>
    <row collapsed="false" customFormat="false" customHeight="false" hidden="false" ht="12.1" outlineLevel="0" r="603">
      <c r="A603" s="21" t="n">
        <v>45876.020636574</v>
      </c>
      <c r="B603" s="22" t="s">
        <v>720</v>
      </c>
      <c r="C603" s="22" t="s">
        <v>783</v>
      </c>
      <c r="D603" s="22" t="s">
        <v>720</v>
      </c>
      <c r="E603" s="22" t="s">
        <v>720</v>
      </c>
      <c r="F603" s="22" t="s">
        <v>20</v>
      </c>
      <c r="G603" s="23" t="n">
        <v>1</v>
      </c>
      <c r="H603" s="24" t="n">
        <v>400</v>
      </c>
      <c r="I603" s="24" t="n">
        <v>400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5" t="n">
        <v>45880.473148148</v>
      </c>
      <c r="B604" s="26" t="s">
        <v>533</v>
      </c>
      <c r="C604" s="26" t="s">
        <v>652</v>
      </c>
      <c r="D604" s="26" t="s">
        <v>528</v>
      </c>
      <c r="E604" s="26" t="s">
        <v>18</v>
      </c>
      <c r="F604" s="26" t="s">
        <v>20</v>
      </c>
      <c r="G604" s="27" t="n">
        <v>-51</v>
      </c>
      <c r="H604" s="28" t="n">
        <v>129.35</v>
      </c>
      <c r="I604" s="28" t="n">
        <v>6596.85</v>
      </c>
      <c r="J604" s="28" t="n">
        <v>0</v>
      </c>
      <c r="K604" s="28" t="n">
        <v>-5.28</v>
      </c>
      <c r="L604" s="28" t="n">
        <v>0</v>
      </c>
      <c r="M604" s="6" t="s">
        <f>=I604+J604+K604+L604</f>
      </c>
      <c r="N604" s="28"/>
      <c r="O604" s="26"/>
    </row>
    <row collapsed="false" customFormat="false" customHeight="false" hidden="false" ht="12.1" outlineLevel="0" r="605">
      <c r="A605" s="20" t="n">
        <v>45880.847094907</v>
      </c>
      <c r="B605" s="2" t="s">
        <v>133</v>
      </c>
      <c r="C605" s="2" t="s">
        <v>656</v>
      </c>
      <c r="D605" s="2" t="s">
        <v>527</v>
      </c>
      <c r="E605" s="2" t="s">
        <v>124</v>
      </c>
      <c r="F605" s="2" t="s">
        <v>20</v>
      </c>
      <c r="G605" s="7" t="n">
        <v>4100</v>
      </c>
      <c r="H605" s="6" t="n">
        <v>1.7677</v>
      </c>
      <c r="I605" s="6" t="n">
        <v>-7247.57</v>
      </c>
      <c r="J605" s="6" t="n">
        <v>0</v>
      </c>
      <c r="K605" s="6" t="n">
        <v>0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1" t="n">
        <v>45901.020636574</v>
      </c>
      <c r="B606" s="22" t="s">
        <v>720</v>
      </c>
      <c r="C606" s="22" t="s">
        <v>790</v>
      </c>
      <c r="D606" s="22" t="s">
        <v>720</v>
      </c>
      <c r="E606" s="22" t="s">
        <v>720</v>
      </c>
      <c r="F606" s="22" t="s">
        <v>20</v>
      </c>
      <c r="G606" s="23" t="n">
        <v>1</v>
      </c>
      <c r="H606" s="24" t="n">
        <v>221.48</v>
      </c>
      <c r="I606" s="24" t="n">
        <v>221.48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5" t="n">
        <v>45901.431608796</v>
      </c>
      <c r="B607" s="26" t="s">
        <v>548</v>
      </c>
      <c r="C607" s="26" t="s">
        <v>740</v>
      </c>
      <c r="D607" s="26" t="s">
        <v>528</v>
      </c>
      <c r="E607" s="26" t="s">
        <v>18</v>
      </c>
      <c r="F607" s="26" t="s">
        <v>20</v>
      </c>
      <c r="G607" s="27" t="n">
        <v>-10</v>
      </c>
      <c r="H607" s="28" t="n">
        <v>2161.8</v>
      </c>
      <c r="I607" s="28" t="n">
        <v>21618</v>
      </c>
      <c r="J607" s="28" t="n">
        <v>0</v>
      </c>
      <c r="K607" s="28" t="n">
        <v>-17.3</v>
      </c>
      <c r="L607" s="28" t="n">
        <v>0</v>
      </c>
      <c r="M607" s="6" t="s">
        <f>=I607+J607+K607+L607</f>
      </c>
      <c r="N607" s="28"/>
      <c r="O607" s="26"/>
    </row>
    <row collapsed="false" customFormat="false" customHeight="false" hidden="false" ht="12.1" outlineLevel="0" r="608">
      <c r="A608" s="25" t="n">
        <v>45901.513946759</v>
      </c>
      <c r="B608" s="26" t="s">
        <v>544</v>
      </c>
      <c r="C608" s="26" t="s">
        <v>703</v>
      </c>
      <c r="D608" s="26" t="s">
        <v>528</v>
      </c>
      <c r="E608" s="26" t="s">
        <v>137</v>
      </c>
      <c r="F608" s="26" t="s">
        <v>20</v>
      </c>
      <c r="G608" s="27" t="n">
        <v>-2</v>
      </c>
      <c r="H608" s="28" t="n">
        <v>24.46</v>
      </c>
      <c r="I608" s="28" t="n">
        <v>244.6</v>
      </c>
      <c r="J608" s="28" t="n">
        <v>0</v>
      </c>
      <c r="K608" s="28" t="n">
        <v>-0.14</v>
      </c>
      <c r="L608" s="28" t="n">
        <v>0</v>
      </c>
      <c r="M608" s="6" t="s">
        <f>=I608+J608+K608+L608</f>
      </c>
      <c r="N608" s="28"/>
      <c r="O608" s="26"/>
    </row>
    <row collapsed="false" customFormat="false" customHeight="false" hidden="false" ht="12.1" outlineLevel="0" r="609">
      <c r="A609" s="20" t="n">
        <v>45901.515185185</v>
      </c>
      <c r="B609" s="2" t="s">
        <v>155</v>
      </c>
      <c r="C609" s="2" t="s">
        <v>691</v>
      </c>
      <c r="D609" s="2" t="s">
        <v>527</v>
      </c>
      <c r="E609" s="2" t="s">
        <v>137</v>
      </c>
      <c r="F609" s="2" t="s">
        <v>20</v>
      </c>
      <c r="G609" s="7" t="n">
        <v>23</v>
      </c>
      <c r="H609" s="6" t="n">
        <v>92</v>
      </c>
      <c r="I609" s="6" t="n">
        <v>-21160</v>
      </c>
      <c r="J609" s="6" t="n">
        <v>-102.81</v>
      </c>
      <c r="K609" s="6" t="n">
        <v>-12.37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45901.51587963</v>
      </c>
      <c r="B610" s="2" t="s">
        <v>133</v>
      </c>
      <c r="C610" s="2" t="s">
        <v>656</v>
      </c>
      <c r="D610" s="2" t="s">
        <v>527</v>
      </c>
      <c r="E610" s="2" t="s">
        <v>124</v>
      </c>
      <c r="F610" s="2" t="s">
        <v>20</v>
      </c>
      <c r="G610" s="7" t="n">
        <v>450</v>
      </c>
      <c r="H610" s="6" t="n">
        <v>1.7859</v>
      </c>
      <c r="I610" s="6" t="n">
        <v>-803.66</v>
      </c>
      <c r="J610" s="6" t="n">
        <v>0</v>
      </c>
      <c r="K610" s="6" t="n">
        <v>0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1" t="n">
        <v>45902.020636574</v>
      </c>
      <c r="B611" s="22" t="s">
        <v>720</v>
      </c>
      <c r="C611" s="22" t="s">
        <v>791</v>
      </c>
      <c r="D611" s="22" t="s">
        <v>720</v>
      </c>
      <c r="E611" s="22" t="s">
        <v>720</v>
      </c>
      <c r="F611" s="22" t="s">
        <v>20</v>
      </c>
      <c r="G611" s="23" t="n">
        <v>1</v>
      </c>
      <c r="H611" s="24" t="n">
        <v>279.8</v>
      </c>
      <c r="I611" s="24" t="n">
        <v>279.8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0" t="n">
        <v>45902.688553241</v>
      </c>
      <c r="B612" s="2" t="s">
        <v>133</v>
      </c>
      <c r="C612" s="2" t="s">
        <v>656</v>
      </c>
      <c r="D612" s="2" t="s">
        <v>527</v>
      </c>
      <c r="E612" s="2" t="s">
        <v>124</v>
      </c>
      <c r="F612" s="2" t="s">
        <v>20</v>
      </c>
      <c r="G612" s="7" t="n">
        <v>160</v>
      </c>
      <c r="H612" s="6" t="n">
        <v>1.7868</v>
      </c>
      <c r="I612" s="6" t="n">
        <v>-285.89</v>
      </c>
      <c r="J612" s="6" t="n">
        <v>0</v>
      </c>
      <c r="K612" s="6" t="n">
        <v>0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5" t="n">
        <v>45910.920833333</v>
      </c>
      <c r="B613" s="26" t="s">
        <v>685</v>
      </c>
      <c r="C613" s="26" t="s">
        <v>685</v>
      </c>
      <c r="D613" s="26" t="s">
        <v>639</v>
      </c>
      <c r="E613" s="26" t="s">
        <v>687</v>
      </c>
      <c r="F613" s="26" t="s">
        <v>33</v>
      </c>
      <c r="G613" s="27" t="n">
        <v>1077</v>
      </c>
      <c r="H613" s="28" t="n">
        <v>1</v>
      </c>
      <c r="I613" s="2"/>
      <c r="J613" s="2"/>
      <c r="K613" s="2"/>
      <c r="L613" s="2"/>
      <c r="M613" s="2"/>
      <c r="N613" s="6" t="n">
        <v>1077</v>
      </c>
      <c r="O613" s="2"/>
    </row>
    <row collapsed="false" customFormat="false" customHeight="false" hidden="false" ht="12.1" outlineLevel="0"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 t="s">
        <v>792</v>
      </c>
      <c r="M614" s="5" t="s">
        <f>=SUM(M2:M613)</f>
      </c>
      <c r="N614" s="5" t="s">
        <f>=SUM(N2:N613)</f>
      </c>
      <c r="O614" s="4"/>
    </row>
  </sheetData>
  <autoFilter ref="A1:O6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249</v>
      </c>
      <c r="B1" s="38" t="s">
        <v>793</v>
      </c>
      <c r="C1" s="38" t="s">
        <v>0</v>
      </c>
      <c r="D1" s="38" t="s">
        <v>2</v>
      </c>
      <c r="E1" s="38" t="s">
        <v>794</v>
      </c>
      <c r="F1" s="38" t="s">
        <v>3</v>
      </c>
      <c r="G1" s="38" t="s">
        <v>795</v>
      </c>
      <c r="H1" s="38" t="s">
        <v>796</v>
      </c>
      <c r="I1" s="38" t="s">
        <v>797</v>
      </c>
      <c r="J1" s="38" t="s">
        <v>798</v>
      </c>
      <c r="K1" s="38" t="s">
        <v>799</v>
      </c>
      <c r="L1" s="38" t="s">
        <v>800</v>
      </c>
      <c r="M1" s="38" t="s">
        <v>801</v>
      </c>
      <c r="N1" s="38" t="s">
        <v>802</v>
      </c>
    </row>
    <row collapsed="false" customFormat="false" customHeight="false" hidden="false" ht="12.1" outlineLevel="0" r="2">
      <c r="A2" s="37" t="n">
        <v>44689</v>
      </c>
      <c r="B2" s="2" t="s">
        <v>803</v>
      </c>
      <c r="C2" s="2" t="s">
        <v>86</v>
      </c>
      <c r="D2" s="2" t="s">
        <v>87</v>
      </c>
      <c r="E2" s="7" t="n">
        <v>1</v>
      </c>
      <c r="F2" s="2" t="s">
        <v>20</v>
      </c>
      <c r="G2" s="6" t="n">
        <v>14.4</v>
      </c>
      <c r="H2" s="6" t="n">
        <v>926</v>
      </c>
      <c r="I2" s="6" t="n">
        <v>890.54</v>
      </c>
      <c r="J2" s="6" t="n">
        <v>2</v>
      </c>
      <c r="K2" s="6" t="n">
        <v>14.4</v>
      </c>
      <c r="L2" s="6" t="n">
        <v>12.4</v>
      </c>
      <c r="M2" s="6" t="n">
        <v>1.39</v>
      </c>
      <c r="N2" s="6" t="n">
        <v>1.34</v>
      </c>
    </row>
    <row collapsed="false" customFormat="false" customHeight="false" hidden="false" ht="12.1" outlineLevel="0" r="3">
      <c r="A3" s="37" t="n">
        <v>44722</v>
      </c>
      <c r="B3" s="2" t="s">
        <v>803</v>
      </c>
      <c r="C3" s="2" t="s">
        <v>88</v>
      </c>
      <c r="D3" s="2" t="s">
        <v>89</v>
      </c>
      <c r="E3" s="7" t="n">
        <v>100</v>
      </c>
      <c r="F3" s="2" t="s">
        <v>20</v>
      </c>
      <c r="G3" s="6" t="n">
        <v>0.2366</v>
      </c>
      <c r="H3" s="6" t="n">
        <v>3.14</v>
      </c>
      <c r="I3" s="6" t="n">
        <v>1.93</v>
      </c>
      <c r="J3" s="6" t="n">
        <v>3</v>
      </c>
      <c r="K3" s="6" t="n">
        <v>23.658</v>
      </c>
      <c r="L3" s="6" t="n">
        <v>20.66</v>
      </c>
      <c r="M3" s="6" t="n">
        <v>10.7</v>
      </c>
      <c r="N3" s="6" t="n">
        <v>6.58</v>
      </c>
    </row>
    <row collapsed="false" customFormat="false" customHeight="false" hidden="false" ht="12.1" outlineLevel="0" r="4">
      <c r="A4" s="37" t="n">
        <v>44753</v>
      </c>
      <c r="B4" s="2" t="s">
        <v>803</v>
      </c>
      <c r="C4" s="2" t="s">
        <v>17</v>
      </c>
      <c r="D4" s="2" t="s">
        <v>19</v>
      </c>
      <c r="E4" s="7" t="n">
        <v>1</v>
      </c>
      <c r="F4" s="2" t="s">
        <v>20</v>
      </c>
      <c r="G4" s="6" t="n">
        <v>23.63</v>
      </c>
      <c r="H4" s="6" t="n">
        <v>343.8</v>
      </c>
      <c r="I4" s="6" t="n">
        <v>311.74</v>
      </c>
      <c r="J4" s="6" t="n">
        <v>3</v>
      </c>
      <c r="K4" s="6" t="n">
        <v>23.63</v>
      </c>
      <c r="L4" s="6" t="n">
        <v>20.63</v>
      </c>
      <c r="M4" s="6" t="n">
        <v>6.62</v>
      </c>
      <c r="N4" s="6" t="n">
        <v>6</v>
      </c>
    </row>
    <row collapsed="false" customFormat="false" customHeight="false" hidden="false" ht="12.1" outlineLevel="0" r="5">
      <c r="A5" s="37" t="n">
        <v>44762</v>
      </c>
      <c r="B5" s="2" t="s">
        <v>803</v>
      </c>
      <c r="C5" s="2" t="s">
        <v>52</v>
      </c>
      <c r="D5" s="2" t="s">
        <v>53</v>
      </c>
      <c r="E5" s="7" t="n">
        <v>100</v>
      </c>
      <c r="F5" s="2" t="s">
        <v>20</v>
      </c>
      <c r="G5" s="6" t="n">
        <v>4.73</v>
      </c>
      <c r="H5" s="6" t="n">
        <v>28.91</v>
      </c>
      <c r="I5" s="6" t="n">
        <v>36.42</v>
      </c>
      <c r="J5" s="6" t="n">
        <v>61</v>
      </c>
      <c r="K5" s="6" t="n">
        <v>473</v>
      </c>
      <c r="L5" s="6" t="n">
        <v>412</v>
      </c>
      <c r="M5" s="6" t="n">
        <v>11.31</v>
      </c>
      <c r="N5" s="6" t="n">
        <v>14.25</v>
      </c>
    </row>
    <row collapsed="false" customFormat="false" customHeight="false" hidden="false" ht="12.1" outlineLevel="0" r="6">
      <c r="A6" s="37" t="n">
        <v>44845</v>
      </c>
      <c r="B6" s="2" t="s">
        <v>803</v>
      </c>
      <c r="C6" s="2" t="s">
        <v>84</v>
      </c>
      <c r="D6" s="2" t="s">
        <v>85</v>
      </c>
      <c r="E6" s="7" t="n">
        <v>10</v>
      </c>
      <c r="F6" s="2" t="s">
        <v>20</v>
      </c>
      <c r="G6" s="6" t="n">
        <v>51.03</v>
      </c>
      <c r="H6" s="6" t="n">
        <v>162.89</v>
      </c>
      <c r="I6" s="6" t="n">
        <v>207.29</v>
      </c>
      <c r="J6" s="6" t="n">
        <v>66</v>
      </c>
      <c r="K6" s="6" t="n">
        <v>510.3</v>
      </c>
      <c r="L6" s="6" t="n">
        <v>444.3</v>
      </c>
      <c r="M6" s="6" t="n">
        <v>21.43</v>
      </c>
      <c r="N6" s="6" t="n">
        <v>27.28</v>
      </c>
    </row>
    <row collapsed="false" customFormat="false" customHeight="false" hidden="false" ht="12.1" outlineLevel="0" r="7">
      <c r="A7" s="37" t="n">
        <v>44854</v>
      </c>
      <c r="B7" s="2" t="s">
        <v>803</v>
      </c>
      <c r="C7" s="2" t="s">
        <v>108</v>
      </c>
      <c r="D7" s="2" t="s">
        <v>109</v>
      </c>
      <c r="E7" s="7" t="n">
        <v>20</v>
      </c>
      <c r="F7" s="2" t="s">
        <v>20</v>
      </c>
      <c r="G7" s="6" t="n">
        <v>1.21</v>
      </c>
      <c r="H7" s="6" t="n">
        <v>32.485</v>
      </c>
      <c r="I7" s="6" t="n">
        <v>57.37</v>
      </c>
      <c r="J7" s="6" t="n">
        <v>3</v>
      </c>
      <c r="K7" s="6" t="n">
        <v>24.2</v>
      </c>
      <c r="L7" s="6" t="n">
        <v>21.2</v>
      </c>
      <c r="M7" s="6" t="n">
        <v>1.85</v>
      </c>
      <c r="N7" s="6" t="n">
        <v>3.26</v>
      </c>
    </row>
    <row collapsed="false" customFormat="false" customHeight="false" hidden="false" ht="12.1" outlineLevel="0" r="8">
      <c r="A8" s="37" t="n">
        <v>44916</v>
      </c>
      <c r="B8" s="2" t="s">
        <v>803</v>
      </c>
      <c r="C8" s="2" t="s">
        <v>34</v>
      </c>
      <c r="D8" s="2" t="s">
        <v>35</v>
      </c>
      <c r="E8" s="7" t="n">
        <v>1</v>
      </c>
      <c r="F8" s="2" t="s">
        <v>20</v>
      </c>
      <c r="G8" s="6" t="n">
        <v>537</v>
      </c>
      <c r="H8" s="6" t="n">
        <v>4040.5</v>
      </c>
      <c r="I8" s="6" t="n">
        <v>3802.28</v>
      </c>
      <c r="J8" s="6" t="n">
        <v>70</v>
      </c>
      <c r="K8" s="6" t="n">
        <v>537</v>
      </c>
      <c r="L8" s="6" t="n">
        <v>467</v>
      </c>
      <c r="M8" s="6" t="n">
        <v>12.28</v>
      </c>
      <c r="N8" s="6" t="n">
        <v>11.56</v>
      </c>
    </row>
    <row collapsed="false" customFormat="false" customHeight="false" hidden="false" ht="12.1" outlineLevel="0" r="9">
      <c r="A9" s="37" t="n">
        <v>44916</v>
      </c>
      <c r="B9" s="2" t="s">
        <v>803</v>
      </c>
      <c r="C9" s="2" t="s">
        <v>34</v>
      </c>
      <c r="D9" s="2" t="s">
        <v>35</v>
      </c>
      <c r="E9" s="7" t="n">
        <v>1</v>
      </c>
      <c r="F9" s="2" t="s">
        <v>20</v>
      </c>
      <c r="G9" s="6" t="n">
        <v>256</v>
      </c>
      <c r="H9" s="6" t="n">
        <v>4040.5</v>
      </c>
      <c r="I9" s="6" t="n">
        <v>3802.28</v>
      </c>
      <c r="J9" s="6" t="n">
        <v>33</v>
      </c>
      <c r="K9" s="6" t="n">
        <v>256</v>
      </c>
      <c r="L9" s="6" t="n">
        <v>223</v>
      </c>
      <c r="M9" s="6" t="n">
        <v>5.86</v>
      </c>
      <c r="N9" s="6" t="n">
        <v>5.52</v>
      </c>
    </row>
    <row collapsed="false" customFormat="false" customHeight="false" hidden="false" ht="12.1" outlineLevel="0" r="10">
      <c r="A10" s="37" t="n">
        <v>44938</v>
      </c>
      <c r="B10" s="2" t="s">
        <v>803</v>
      </c>
      <c r="C10" s="2" t="s">
        <v>17</v>
      </c>
      <c r="D10" s="2" t="s">
        <v>19</v>
      </c>
      <c r="E10" s="7" t="n">
        <v>2</v>
      </c>
      <c r="F10" s="2" t="s">
        <v>20</v>
      </c>
      <c r="G10" s="6" t="n">
        <v>20.39</v>
      </c>
      <c r="H10" s="6" t="n">
        <v>346.85</v>
      </c>
      <c r="I10" s="6" t="n">
        <v>330.72</v>
      </c>
      <c r="J10" s="6" t="n">
        <v>5</v>
      </c>
      <c r="K10" s="6" t="n">
        <v>40.78</v>
      </c>
      <c r="L10" s="6" t="n">
        <v>35.78</v>
      </c>
      <c r="M10" s="6" t="n">
        <v>5.41</v>
      </c>
      <c r="N10" s="6" t="n">
        <v>5.16</v>
      </c>
    </row>
    <row collapsed="false" customFormat="false" customHeight="false" hidden="false" ht="12.1" outlineLevel="0" r="11">
      <c r="A11" s="37" t="n">
        <v>45057</v>
      </c>
      <c r="B11" s="2" t="s">
        <v>803</v>
      </c>
      <c r="C11" s="2" t="s">
        <v>534</v>
      </c>
      <c r="D11" s="2" t="s">
        <v>804</v>
      </c>
      <c r="E11" s="7" t="n">
        <v>10</v>
      </c>
      <c r="F11" s="2" t="s">
        <v>20</v>
      </c>
      <c r="G11" s="6" t="n">
        <v>25</v>
      </c>
      <c r="H11" s="6" t="n">
        <v>226.55</v>
      </c>
      <c r="I11" s="6" t="n">
        <v>138.78</v>
      </c>
      <c r="J11" s="6" t="n">
        <v>33</v>
      </c>
      <c r="K11" s="6" t="n">
        <v>250</v>
      </c>
      <c r="L11" s="6" t="n">
        <v>217</v>
      </c>
      <c r="M11" s="6" t="n">
        <v>15.64</v>
      </c>
      <c r="N11" s="6" t="n">
        <v>9.58</v>
      </c>
    </row>
    <row collapsed="false" customFormat="false" customHeight="false" hidden="false" ht="12.1" outlineLevel="0" r="12">
      <c r="A12" s="37" t="n">
        <v>45076</v>
      </c>
      <c r="B12" s="2" t="s">
        <v>803</v>
      </c>
      <c r="C12" s="2" t="s">
        <v>88</v>
      </c>
      <c r="D12" s="2" t="s">
        <v>89</v>
      </c>
      <c r="E12" s="7" t="n">
        <v>200</v>
      </c>
      <c r="F12" s="2" t="s">
        <v>20</v>
      </c>
      <c r="G12" s="6" t="n">
        <v>0.2837</v>
      </c>
      <c r="H12" s="6" t="n">
        <v>4.1225</v>
      </c>
      <c r="I12" s="6" t="n">
        <v>2.53</v>
      </c>
      <c r="J12" s="6" t="n">
        <v>7</v>
      </c>
      <c r="K12" s="6" t="n">
        <v>56.7311</v>
      </c>
      <c r="L12" s="6" t="n">
        <v>49.73</v>
      </c>
      <c r="M12" s="6" t="n">
        <v>9.84</v>
      </c>
      <c r="N12" s="6" t="n">
        <v>6.03</v>
      </c>
    </row>
    <row collapsed="false" customFormat="false" customHeight="false" hidden="false" ht="12.1" outlineLevel="0" r="13">
      <c r="A13" s="37" t="n">
        <v>45082</v>
      </c>
      <c r="B13" s="2" t="s">
        <v>803</v>
      </c>
      <c r="C13" s="2" t="s">
        <v>34</v>
      </c>
      <c r="D13" s="2" t="s">
        <v>35</v>
      </c>
      <c r="E13" s="7" t="n">
        <v>1</v>
      </c>
      <c r="F13" s="2" t="s">
        <v>20</v>
      </c>
      <c r="G13" s="6" t="n">
        <v>438</v>
      </c>
      <c r="H13" s="6" t="n">
        <v>5166.5</v>
      </c>
      <c r="I13" s="6" t="n">
        <v>3802.28</v>
      </c>
      <c r="J13" s="6" t="n">
        <v>57</v>
      </c>
      <c r="K13" s="6" t="n">
        <v>438</v>
      </c>
      <c r="L13" s="6" t="n">
        <v>381</v>
      </c>
      <c r="M13" s="6" t="n">
        <v>10.02</v>
      </c>
      <c r="N13" s="6" t="n">
        <v>7.37</v>
      </c>
    </row>
    <row collapsed="false" customFormat="false" customHeight="false" hidden="false" ht="12.1" outlineLevel="0" r="14">
      <c r="A14" s="37" t="n">
        <v>45093</v>
      </c>
      <c r="B14" s="2" t="s">
        <v>803</v>
      </c>
      <c r="C14" s="2" t="s">
        <v>76</v>
      </c>
      <c r="D14" s="2" t="s">
        <v>77</v>
      </c>
      <c r="E14" s="7" t="n">
        <v>10</v>
      </c>
      <c r="F14" s="2" t="s">
        <v>20</v>
      </c>
      <c r="G14" s="6" t="n">
        <v>4.84</v>
      </c>
      <c r="H14" s="6" t="n">
        <v>124.06</v>
      </c>
      <c r="I14" s="6" t="n">
        <v>92.76</v>
      </c>
      <c r="J14" s="6" t="n">
        <v>6</v>
      </c>
      <c r="K14" s="6" t="n">
        <v>48.4</v>
      </c>
      <c r="L14" s="6" t="n">
        <v>42.4</v>
      </c>
      <c r="M14" s="6" t="n">
        <v>4.57</v>
      </c>
      <c r="N14" s="6" t="n">
        <v>3.42</v>
      </c>
    </row>
    <row collapsed="false" customFormat="false" customHeight="false" hidden="false" ht="12.1" outlineLevel="0" r="15">
      <c r="A15" s="37" t="n">
        <v>45114</v>
      </c>
      <c r="B15" s="2" t="s">
        <v>803</v>
      </c>
      <c r="C15" s="2" t="s">
        <v>104</v>
      </c>
      <c r="D15" s="2" t="s">
        <v>105</v>
      </c>
      <c r="E15" s="7" t="n">
        <v>1</v>
      </c>
      <c r="F15" s="2" t="s">
        <v>20</v>
      </c>
      <c r="G15" s="6" t="n">
        <v>78</v>
      </c>
      <c r="H15" s="6" t="n">
        <v>710.6</v>
      </c>
      <c r="I15" s="6" t="n">
        <v>498.25</v>
      </c>
      <c r="J15" s="6" t="n">
        <v>10</v>
      </c>
      <c r="K15" s="6" t="n">
        <v>78</v>
      </c>
      <c r="L15" s="6" t="n">
        <v>68</v>
      </c>
      <c r="M15" s="6" t="n">
        <v>13.65</v>
      </c>
      <c r="N15" s="6" t="n">
        <v>9.57</v>
      </c>
    </row>
    <row collapsed="false" customFormat="false" customHeight="false" hidden="false" ht="12.1" outlineLevel="0" r="16">
      <c r="A16" s="37" t="n">
        <v>45118</v>
      </c>
      <c r="B16" s="2" t="s">
        <v>803</v>
      </c>
      <c r="C16" s="2" t="s">
        <v>72</v>
      </c>
      <c r="D16" s="2" t="s">
        <v>73</v>
      </c>
      <c r="E16" s="7" t="n">
        <v>4</v>
      </c>
      <c r="F16" s="2" t="s">
        <v>20</v>
      </c>
      <c r="G16" s="6" t="n">
        <v>10</v>
      </c>
      <c r="H16" s="6" t="n">
        <v>633</v>
      </c>
      <c r="I16" s="6" t="n">
        <v>596.43</v>
      </c>
      <c r="J16" s="6" t="n">
        <v>5</v>
      </c>
      <c r="K16" s="6" t="n">
        <v>40</v>
      </c>
      <c r="L16" s="6" t="n">
        <v>35</v>
      </c>
      <c r="M16" s="6" t="n">
        <v>1.47</v>
      </c>
      <c r="N16" s="6" t="n">
        <v>1.38</v>
      </c>
    </row>
    <row collapsed="false" customFormat="false" customHeight="false" hidden="false" ht="12.1" outlineLevel="0" r="17">
      <c r="A17" s="37" t="n">
        <v>45118</v>
      </c>
      <c r="B17" s="2" t="s">
        <v>803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17.97</v>
      </c>
      <c r="H17" s="6" t="n">
        <v>478.8</v>
      </c>
      <c r="I17" s="6" t="n">
        <v>330.72</v>
      </c>
      <c r="J17" s="6" t="n">
        <v>5</v>
      </c>
      <c r="K17" s="6" t="n">
        <v>35.94</v>
      </c>
      <c r="L17" s="6" t="n">
        <v>30.94</v>
      </c>
      <c r="M17" s="6" t="n">
        <v>4.68</v>
      </c>
      <c r="N17" s="6" t="n">
        <v>3.23</v>
      </c>
    </row>
    <row collapsed="false" customFormat="false" customHeight="false" hidden="false" ht="12.1" outlineLevel="0" r="18">
      <c r="A18" s="37" t="n">
        <v>45126</v>
      </c>
      <c r="B18" s="2" t="s">
        <v>803</v>
      </c>
      <c r="C18" s="2" t="s">
        <v>60</v>
      </c>
      <c r="D18" s="2" t="s">
        <v>61</v>
      </c>
      <c r="E18" s="7" t="n">
        <v>200</v>
      </c>
      <c r="F18" s="2" t="s">
        <v>20</v>
      </c>
      <c r="G18" s="6" t="n">
        <v>0.41</v>
      </c>
      <c r="H18" s="6" t="n">
        <v>17.648</v>
      </c>
      <c r="I18" s="6" t="n">
        <v>13.16</v>
      </c>
      <c r="J18" s="6" t="n">
        <v>11</v>
      </c>
      <c r="K18" s="6" t="n">
        <v>82</v>
      </c>
      <c r="L18" s="6" t="n">
        <v>71</v>
      </c>
      <c r="M18" s="6" t="n">
        <v>2.7</v>
      </c>
      <c r="N18" s="6" t="n">
        <v>2.01</v>
      </c>
    </row>
    <row collapsed="false" customFormat="false" customHeight="false" hidden="false" ht="12.1" outlineLevel="0" r="19">
      <c r="A19" s="37" t="n">
        <v>45127</v>
      </c>
      <c r="B19" s="2" t="s">
        <v>803</v>
      </c>
      <c r="C19" s="2" t="s">
        <v>52</v>
      </c>
      <c r="D19" s="2" t="s">
        <v>53</v>
      </c>
      <c r="E19" s="7" t="n">
        <v>100</v>
      </c>
      <c r="F19" s="2" t="s">
        <v>20</v>
      </c>
      <c r="G19" s="6" t="n">
        <v>0.8</v>
      </c>
      <c r="H19" s="6" t="n">
        <v>42.025</v>
      </c>
      <c r="I19" s="6" t="n">
        <v>36.42</v>
      </c>
      <c r="J19" s="6" t="n">
        <v>10</v>
      </c>
      <c r="K19" s="6" t="n">
        <v>80</v>
      </c>
      <c r="L19" s="6" t="n">
        <v>70</v>
      </c>
      <c r="M19" s="6" t="n">
        <v>1.92</v>
      </c>
      <c r="N19" s="6" t="n">
        <v>1.67</v>
      </c>
    </row>
    <row collapsed="false" customFormat="false" customHeight="false" hidden="false" ht="12.1" outlineLevel="0" r="20">
      <c r="A20" s="37" t="n">
        <v>45191</v>
      </c>
      <c r="B20" s="2" t="s">
        <v>803</v>
      </c>
      <c r="C20" s="2" t="s">
        <v>72</v>
      </c>
      <c r="D20" s="2" t="s">
        <v>73</v>
      </c>
      <c r="E20" s="7" t="n">
        <v>4</v>
      </c>
      <c r="F20" s="2" t="s">
        <v>20</v>
      </c>
      <c r="G20" s="6" t="n">
        <v>16</v>
      </c>
      <c r="H20" s="6" t="n">
        <v>893</v>
      </c>
      <c r="I20" s="6" t="n">
        <v>596.43</v>
      </c>
      <c r="J20" s="6" t="n">
        <v>8</v>
      </c>
      <c r="K20" s="6" t="n">
        <v>64</v>
      </c>
      <c r="L20" s="6" t="n">
        <v>56</v>
      </c>
      <c r="M20" s="6" t="n">
        <v>2.35</v>
      </c>
      <c r="N20" s="6" t="n">
        <v>1.57</v>
      </c>
    </row>
    <row collapsed="false" customFormat="false" customHeight="false" hidden="false" ht="12.1" outlineLevel="0" r="21">
      <c r="A21" s="37" t="n">
        <v>45217</v>
      </c>
      <c r="B21" s="2" t="s">
        <v>803</v>
      </c>
      <c r="C21" s="2" t="s">
        <v>74</v>
      </c>
      <c r="D21" s="2" t="s">
        <v>75</v>
      </c>
      <c r="E21" s="7" t="n">
        <v>40</v>
      </c>
      <c r="F21" s="2" t="s">
        <v>20</v>
      </c>
      <c r="G21" s="6" t="n">
        <v>3.77</v>
      </c>
      <c r="H21" s="6" t="n">
        <v>72.82</v>
      </c>
      <c r="I21" s="6" t="n">
        <v>69.08</v>
      </c>
      <c r="J21" s="6" t="n">
        <v>20</v>
      </c>
      <c r="K21" s="6" t="n">
        <v>150.8</v>
      </c>
      <c r="L21" s="6" t="n">
        <v>130.8</v>
      </c>
      <c r="M21" s="6" t="n">
        <v>4.73</v>
      </c>
      <c r="N21" s="6" t="n">
        <v>4.49</v>
      </c>
    </row>
    <row collapsed="false" customFormat="false" customHeight="false" hidden="false" ht="12.1" outlineLevel="0" r="22">
      <c r="A22" s="37" t="n">
        <v>45263</v>
      </c>
      <c r="B22" s="2" t="s">
        <v>803</v>
      </c>
      <c r="C22" s="2" t="s">
        <v>102</v>
      </c>
      <c r="D22" s="2" t="s">
        <v>103</v>
      </c>
      <c r="E22" s="7" t="n">
        <v>20</v>
      </c>
      <c r="F22" s="2" t="s">
        <v>20</v>
      </c>
      <c r="G22" s="6" t="n">
        <v>2</v>
      </c>
      <c r="H22" s="6" t="n">
        <v>65.3</v>
      </c>
      <c r="I22" s="6" t="n">
        <v>45.32</v>
      </c>
      <c r="J22" s="6" t="n">
        <v>5</v>
      </c>
      <c r="K22" s="6" t="n">
        <v>40</v>
      </c>
      <c r="L22" s="6" t="n">
        <v>35</v>
      </c>
      <c r="M22" s="6" t="n">
        <v>3.86</v>
      </c>
      <c r="N22" s="6" t="n">
        <v>2.68</v>
      </c>
    </row>
    <row collapsed="false" customFormat="false" customHeight="false" hidden="false" ht="12.1" outlineLevel="0" r="23">
      <c r="A23" s="37" t="n">
        <v>45269</v>
      </c>
      <c r="B23" s="2" t="s">
        <v>803</v>
      </c>
      <c r="C23" s="2" t="s">
        <v>72</v>
      </c>
      <c r="D23" s="2" t="s">
        <v>73</v>
      </c>
      <c r="E23" s="7" t="n">
        <v>4</v>
      </c>
      <c r="F23" s="2" t="s">
        <v>20</v>
      </c>
      <c r="G23" s="6" t="n">
        <v>19</v>
      </c>
      <c r="H23" s="6" t="n">
        <v>812.5</v>
      </c>
      <c r="I23" s="6" t="n">
        <v>596.43</v>
      </c>
      <c r="J23" s="6" t="n">
        <v>10</v>
      </c>
      <c r="K23" s="6" t="n">
        <v>76</v>
      </c>
      <c r="L23" s="6" t="n">
        <v>66</v>
      </c>
      <c r="M23" s="6" t="n">
        <v>2.77</v>
      </c>
      <c r="N23" s="6" t="n">
        <v>2.03</v>
      </c>
    </row>
    <row collapsed="false" customFormat="false" customHeight="false" hidden="false" ht="12.1" outlineLevel="0" r="24">
      <c r="A24" s="37" t="n">
        <v>45277</v>
      </c>
      <c r="B24" s="2" t="s">
        <v>803</v>
      </c>
      <c r="C24" s="2" t="s">
        <v>34</v>
      </c>
      <c r="D24" s="2" t="s">
        <v>35</v>
      </c>
      <c r="E24" s="7" t="n">
        <v>1</v>
      </c>
      <c r="F24" s="2" t="s">
        <v>20</v>
      </c>
      <c r="G24" s="6" t="n">
        <v>447</v>
      </c>
      <c r="H24" s="6" t="n">
        <v>6560</v>
      </c>
      <c r="I24" s="6" t="n">
        <v>3802.28</v>
      </c>
      <c r="J24" s="6" t="n">
        <v>58</v>
      </c>
      <c r="K24" s="6" t="n">
        <v>447</v>
      </c>
      <c r="L24" s="6" t="n">
        <v>389</v>
      </c>
      <c r="M24" s="6" t="n">
        <v>10.23</v>
      </c>
      <c r="N24" s="6" t="n">
        <v>5.93</v>
      </c>
    </row>
    <row collapsed="false" customFormat="false" customHeight="false" hidden="false" ht="12.1" outlineLevel="0" r="25">
      <c r="A25" s="37" t="n">
        <v>45302</v>
      </c>
      <c r="B25" s="2" t="s">
        <v>803</v>
      </c>
      <c r="C25" s="2" t="s">
        <v>17</v>
      </c>
      <c r="D25" s="2" t="s">
        <v>19</v>
      </c>
      <c r="E25" s="7" t="n">
        <v>3</v>
      </c>
      <c r="F25" s="2" t="s">
        <v>20</v>
      </c>
      <c r="G25" s="6" t="n">
        <v>30.77</v>
      </c>
      <c r="H25" s="6" t="n">
        <v>579.6</v>
      </c>
      <c r="I25" s="6" t="n">
        <v>397.1</v>
      </c>
      <c r="J25" s="6" t="n">
        <v>12</v>
      </c>
      <c r="K25" s="6" t="n">
        <v>92.31</v>
      </c>
      <c r="L25" s="6" t="n">
        <v>80.31</v>
      </c>
      <c r="M25" s="6" t="n">
        <v>6.74</v>
      </c>
      <c r="N25" s="6" t="n">
        <v>4.62</v>
      </c>
    </row>
    <row collapsed="false" customFormat="false" customHeight="false" hidden="false" ht="12.1" outlineLevel="0" r="26">
      <c r="A26" s="37" t="n">
        <v>45377</v>
      </c>
      <c r="B26" s="2" t="s">
        <v>803</v>
      </c>
      <c r="C26" s="2" t="s">
        <v>43</v>
      </c>
      <c r="D26" s="2" t="s">
        <v>44</v>
      </c>
      <c r="E26" s="7" t="n">
        <v>5</v>
      </c>
      <c r="F26" s="2" t="s">
        <v>20</v>
      </c>
      <c r="G26" s="6" t="n">
        <v>44.09</v>
      </c>
      <c r="H26" s="6" t="n">
        <v>1316.8</v>
      </c>
      <c r="I26" s="6" t="n">
        <v>1341.07</v>
      </c>
      <c r="J26" s="6" t="n">
        <v>29</v>
      </c>
      <c r="K26" s="6" t="n">
        <v>220.45</v>
      </c>
      <c r="L26" s="6" t="n">
        <v>191.45</v>
      </c>
      <c r="M26" s="6" t="n">
        <v>2.86</v>
      </c>
      <c r="N26" s="6" t="n">
        <v>2.91</v>
      </c>
    </row>
    <row collapsed="false" customFormat="false" customHeight="false" hidden="false" ht="12.1" outlineLevel="0" r="27">
      <c r="A27" s="37" t="n">
        <v>45414</v>
      </c>
      <c r="B27" s="2" t="s">
        <v>803</v>
      </c>
      <c r="C27" s="2" t="s">
        <v>104</v>
      </c>
      <c r="D27" s="2" t="s">
        <v>105</v>
      </c>
      <c r="E27" s="7" t="n">
        <v>1</v>
      </c>
      <c r="F27" s="2" t="s">
        <v>20</v>
      </c>
      <c r="G27" s="6" t="n">
        <v>100</v>
      </c>
      <c r="H27" s="6" t="n">
        <v>969</v>
      </c>
      <c r="I27" s="6" t="n">
        <v>498.25</v>
      </c>
      <c r="J27" s="6" t="n">
        <v>13</v>
      </c>
      <c r="K27" s="6" t="n">
        <v>100</v>
      </c>
      <c r="L27" s="6" t="n">
        <v>87</v>
      </c>
      <c r="M27" s="6" t="n">
        <v>17.46</v>
      </c>
      <c r="N27" s="6" t="n">
        <v>8.98</v>
      </c>
    </row>
    <row collapsed="false" customFormat="false" customHeight="false" hidden="false" ht="12.1" outlineLevel="0" r="28">
      <c r="A28" s="37" t="n">
        <v>45419</v>
      </c>
      <c r="B28" s="2" t="s">
        <v>803</v>
      </c>
      <c r="C28" s="2" t="s">
        <v>34</v>
      </c>
      <c r="D28" s="2" t="s">
        <v>35</v>
      </c>
      <c r="E28" s="7" t="n">
        <v>1</v>
      </c>
      <c r="F28" s="2" t="s">
        <v>20</v>
      </c>
      <c r="G28" s="6" t="n">
        <v>498</v>
      </c>
      <c r="H28" s="6" t="n">
        <v>7722.5</v>
      </c>
      <c r="I28" s="6" t="n">
        <v>3802.28</v>
      </c>
      <c r="J28" s="6" t="n">
        <v>65</v>
      </c>
      <c r="K28" s="6" t="n">
        <v>498</v>
      </c>
      <c r="L28" s="6" t="n">
        <v>433</v>
      </c>
      <c r="M28" s="6" t="n">
        <v>11.39</v>
      </c>
      <c r="N28" s="6" t="n">
        <v>5.61</v>
      </c>
    </row>
    <row collapsed="false" customFormat="false" customHeight="false" hidden="false" ht="12.1" outlineLevel="0" r="29">
      <c r="A29" s="37" t="n">
        <v>45443</v>
      </c>
      <c r="B29" s="2" t="s">
        <v>803</v>
      </c>
      <c r="C29" s="2" t="s">
        <v>74</v>
      </c>
      <c r="D29" s="2" t="s">
        <v>75</v>
      </c>
      <c r="E29" s="7" t="n">
        <v>40</v>
      </c>
      <c r="F29" s="2" t="s">
        <v>20</v>
      </c>
      <c r="G29" s="6" t="n">
        <v>2.02</v>
      </c>
      <c r="H29" s="6" t="n">
        <v>74.98</v>
      </c>
      <c r="I29" s="6" t="n">
        <v>69.08</v>
      </c>
      <c r="J29" s="6" t="n">
        <v>11</v>
      </c>
      <c r="K29" s="6" t="n">
        <v>80.8</v>
      </c>
      <c r="L29" s="6" t="n">
        <v>69.8</v>
      </c>
      <c r="M29" s="6" t="n">
        <v>2.53</v>
      </c>
      <c r="N29" s="6" t="n">
        <v>2.33</v>
      </c>
    </row>
    <row collapsed="false" customFormat="false" customHeight="false" hidden="false" ht="12.1" outlineLevel="0" r="30">
      <c r="A30" s="37" t="n">
        <v>45446</v>
      </c>
      <c r="B30" s="2" t="s">
        <v>803</v>
      </c>
      <c r="C30" s="2" t="s">
        <v>88</v>
      </c>
      <c r="D30" s="2" t="s">
        <v>89</v>
      </c>
      <c r="E30" s="7" t="n">
        <v>300</v>
      </c>
      <c r="F30" s="2" t="s">
        <v>20</v>
      </c>
      <c r="G30" s="6" t="n">
        <v>0.326</v>
      </c>
      <c r="H30" s="6" t="n">
        <v>3.794</v>
      </c>
      <c r="I30" s="6" t="n">
        <v>3.07</v>
      </c>
      <c r="J30" s="6" t="n">
        <v>13</v>
      </c>
      <c r="K30" s="6" t="n">
        <v>97.7998</v>
      </c>
      <c r="L30" s="6" t="n">
        <v>84.8</v>
      </c>
      <c r="M30" s="6" t="n">
        <v>9.21</v>
      </c>
      <c r="N30" s="6" t="n">
        <v>7.45</v>
      </c>
    </row>
    <row collapsed="false" customFormat="false" customHeight="false" hidden="false" ht="12.1" outlineLevel="0" r="31">
      <c r="A31" s="37" t="n">
        <v>45453</v>
      </c>
      <c r="B31" s="2" t="s">
        <v>803</v>
      </c>
      <c r="C31" s="2" t="s">
        <v>114</v>
      </c>
      <c r="D31" s="2" t="s">
        <v>115</v>
      </c>
      <c r="E31" s="7" t="n">
        <v>10</v>
      </c>
      <c r="F31" s="2" t="s">
        <v>20</v>
      </c>
      <c r="G31" s="6" t="n">
        <v>2.752</v>
      </c>
      <c r="H31" s="6" t="n">
        <v>55.06</v>
      </c>
      <c r="I31" s="6" t="n">
        <v>32.02</v>
      </c>
      <c r="J31" s="6" t="n">
        <v>4</v>
      </c>
      <c r="K31" s="6" t="n">
        <v>27.52</v>
      </c>
      <c r="L31" s="6" t="n">
        <v>23.52</v>
      </c>
      <c r="M31" s="6" t="n">
        <v>7.35</v>
      </c>
      <c r="N31" s="6" t="n">
        <v>4.27</v>
      </c>
    </row>
    <row collapsed="false" customFormat="false" customHeight="false" hidden="false" ht="12.1" outlineLevel="0" r="32">
      <c r="A32" s="37" t="n">
        <v>45458</v>
      </c>
      <c r="B32" s="2" t="s">
        <v>803</v>
      </c>
      <c r="C32" s="2" t="s">
        <v>102</v>
      </c>
      <c r="D32" s="2" t="s">
        <v>103</v>
      </c>
      <c r="E32" s="7" t="n">
        <v>20</v>
      </c>
      <c r="F32" s="2" t="s">
        <v>20</v>
      </c>
      <c r="G32" s="6" t="n">
        <v>2</v>
      </c>
      <c r="H32" s="6" t="n">
        <v>69.26</v>
      </c>
      <c r="I32" s="6" t="n">
        <v>45.32</v>
      </c>
      <c r="J32" s="6" t="n">
        <v>5</v>
      </c>
      <c r="K32" s="6" t="n">
        <v>40</v>
      </c>
      <c r="L32" s="6" t="n">
        <v>35</v>
      </c>
      <c r="M32" s="6" t="n">
        <v>3.86</v>
      </c>
      <c r="N32" s="6" t="n">
        <v>2.53</v>
      </c>
    </row>
    <row collapsed="false" customFormat="false" customHeight="false" hidden="false" ht="12.1" outlineLevel="0" r="33">
      <c r="A33" s="37" t="n">
        <v>45457</v>
      </c>
      <c r="B33" s="2" t="s">
        <v>803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17.35</v>
      </c>
      <c r="H33" s="6" t="n">
        <v>240.1</v>
      </c>
      <c r="I33" s="6" t="n">
        <v>92.76</v>
      </c>
      <c r="J33" s="6" t="n">
        <v>23</v>
      </c>
      <c r="K33" s="6" t="n">
        <v>173.5</v>
      </c>
      <c r="L33" s="6" t="n">
        <v>150.5</v>
      </c>
      <c r="M33" s="6" t="n">
        <v>16.23</v>
      </c>
      <c r="N33" s="6" t="n">
        <v>6.27</v>
      </c>
    </row>
    <row collapsed="false" customFormat="false" customHeight="false" hidden="false" ht="12.1" outlineLevel="0" r="34">
      <c r="A34" s="37" t="n">
        <v>45461</v>
      </c>
      <c r="B34" s="2" t="s">
        <v>803</v>
      </c>
      <c r="C34" s="2" t="s">
        <v>98</v>
      </c>
      <c r="D34" s="2" t="s">
        <v>99</v>
      </c>
      <c r="E34" s="7" t="n">
        <v>1</v>
      </c>
      <c r="F34" s="2" t="s">
        <v>20</v>
      </c>
      <c r="G34" s="6" t="n">
        <v>191.51</v>
      </c>
      <c r="H34" s="6" t="n">
        <v>1555.6</v>
      </c>
      <c r="I34" s="6" t="n">
        <v>814.29</v>
      </c>
      <c r="J34" s="6" t="n">
        <v>25</v>
      </c>
      <c r="K34" s="6" t="n">
        <v>191.51</v>
      </c>
      <c r="L34" s="6" t="n">
        <v>166.51</v>
      </c>
      <c r="M34" s="6" t="n">
        <v>20.45</v>
      </c>
      <c r="N34" s="6" t="n">
        <v>10.7</v>
      </c>
    </row>
    <row collapsed="false" customFormat="false" customHeight="false" hidden="false" ht="12.1" outlineLevel="0" r="35">
      <c r="A35" s="37" t="n">
        <v>45461</v>
      </c>
      <c r="B35" s="2" t="s">
        <v>803</v>
      </c>
      <c r="C35" s="2" t="s">
        <v>98</v>
      </c>
      <c r="D35" s="2" t="s">
        <v>99</v>
      </c>
      <c r="E35" s="7" t="n">
        <v>1</v>
      </c>
      <c r="F35" s="2" t="s">
        <v>20</v>
      </c>
      <c r="G35" s="6" t="n">
        <v>38.3</v>
      </c>
      <c r="H35" s="6" t="n">
        <v>1555.6</v>
      </c>
      <c r="I35" s="6" t="n">
        <v>814.29</v>
      </c>
      <c r="J35" s="6" t="n">
        <v>5</v>
      </c>
      <c r="K35" s="6" t="n">
        <v>38.3</v>
      </c>
      <c r="L35" s="6" t="n">
        <v>33.3</v>
      </c>
      <c r="M35" s="6" t="n">
        <v>4.09</v>
      </c>
      <c r="N35" s="6" t="n">
        <v>2.14</v>
      </c>
    </row>
    <row collapsed="false" customFormat="false" customHeight="false" hidden="false" ht="12.1" outlineLevel="0" r="36">
      <c r="A36" s="37" t="n">
        <v>45481</v>
      </c>
      <c r="B36" s="2" t="s">
        <v>803</v>
      </c>
      <c r="C36" s="2" t="s">
        <v>72</v>
      </c>
      <c r="D36" s="2" t="s">
        <v>73</v>
      </c>
      <c r="E36" s="7" t="n">
        <v>4</v>
      </c>
      <c r="F36" s="2" t="s">
        <v>20</v>
      </c>
      <c r="G36" s="6" t="n">
        <v>10</v>
      </c>
      <c r="H36" s="6" t="n">
        <v>815</v>
      </c>
      <c r="I36" s="6" t="n">
        <v>596.43</v>
      </c>
      <c r="J36" s="6" t="n">
        <v>5</v>
      </c>
      <c r="K36" s="6" t="n">
        <v>40</v>
      </c>
      <c r="L36" s="6" t="n">
        <v>35</v>
      </c>
      <c r="M36" s="6" t="n">
        <v>1.47</v>
      </c>
      <c r="N36" s="6" t="n">
        <v>1.07</v>
      </c>
    </row>
    <row collapsed="false" customFormat="false" customHeight="false" hidden="false" ht="12.1" outlineLevel="0" r="37">
      <c r="A37" s="37" t="n">
        <v>45481</v>
      </c>
      <c r="B37" s="2" t="s">
        <v>803</v>
      </c>
      <c r="C37" s="2" t="s">
        <v>72</v>
      </c>
      <c r="D37" s="2" t="s">
        <v>73</v>
      </c>
      <c r="E37" s="7" t="n">
        <v>4</v>
      </c>
      <c r="F37" s="2" t="s">
        <v>20</v>
      </c>
      <c r="G37" s="6" t="n">
        <v>10</v>
      </c>
      <c r="H37" s="6" t="n">
        <v>815</v>
      </c>
      <c r="I37" s="6" t="n">
        <v>596.43</v>
      </c>
      <c r="J37" s="6" t="n">
        <v>5</v>
      </c>
      <c r="K37" s="6" t="n">
        <v>40</v>
      </c>
      <c r="L37" s="6" t="n">
        <v>35</v>
      </c>
      <c r="M37" s="6" t="n">
        <v>1.47</v>
      </c>
      <c r="N37" s="6" t="n">
        <v>1.07</v>
      </c>
    </row>
    <row collapsed="false" customFormat="false" customHeight="false" hidden="false" ht="12.1" outlineLevel="0" r="38">
      <c r="A38" s="37" t="n">
        <v>45482</v>
      </c>
      <c r="B38" s="2" t="s">
        <v>803</v>
      </c>
      <c r="C38" s="2" t="s">
        <v>17</v>
      </c>
      <c r="D38" s="2" t="s">
        <v>19</v>
      </c>
      <c r="E38" s="7" t="n">
        <v>3</v>
      </c>
      <c r="F38" s="2" t="s">
        <v>20</v>
      </c>
      <c r="G38" s="6" t="n">
        <v>29.01</v>
      </c>
      <c r="H38" s="6" t="n">
        <v>524.6</v>
      </c>
      <c r="I38" s="6" t="n">
        <v>397.1</v>
      </c>
      <c r="J38" s="6" t="n">
        <v>11</v>
      </c>
      <c r="K38" s="6" t="n">
        <v>87.03</v>
      </c>
      <c r="L38" s="6" t="n">
        <v>76.03</v>
      </c>
      <c r="M38" s="6" t="n">
        <v>6.38</v>
      </c>
      <c r="N38" s="6" t="n">
        <v>4.83</v>
      </c>
    </row>
    <row collapsed="false" customFormat="false" customHeight="false" hidden="false" ht="12.1" outlineLevel="0" r="39">
      <c r="A39" s="37" t="n">
        <v>45482</v>
      </c>
      <c r="B39" s="2" t="s">
        <v>803</v>
      </c>
      <c r="C39" s="2" t="s">
        <v>90</v>
      </c>
      <c r="D39" s="2" t="s">
        <v>91</v>
      </c>
      <c r="E39" s="7" t="n">
        <v>3</v>
      </c>
      <c r="F39" s="2" t="s">
        <v>20</v>
      </c>
      <c r="G39" s="6" t="n">
        <v>7.89</v>
      </c>
      <c r="H39" s="6" t="n">
        <v>519.45</v>
      </c>
      <c r="I39" s="6" t="n">
        <v>555.28</v>
      </c>
      <c r="J39" s="6" t="n">
        <v>3</v>
      </c>
      <c r="K39" s="6" t="n">
        <v>23.67</v>
      </c>
      <c r="L39" s="6" t="n">
        <v>20.67</v>
      </c>
      <c r="M39" s="6" t="n">
        <v>1.24</v>
      </c>
      <c r="N39" s="6" t="n">
        <v>1.33</v>
      </c>
    </row>
    <row collapsed="false" customFormat="false" customHeight="false" hidden="false" ht="12.1" outlineLevel="0" r="40">
      <c r="A40" s="37" t="n">
        <v>45484</v>
      </c>
      <c r="B40" s="2" t="s">
        <v>803</v>
      </c>
      <c r="C40" s="2" t="s">
        <v>66</v>
      </c>
      <c r="D40" s="2" t="s">
        <v>67</v>
      </c>
      <c r="E40" s="7" t="n">
        <v>22000</v>
      </c>
      <c r="F40" s="2" t="s">
        <v>20</v>
      </c>
      <c r="G40" s="6" t="n">
        <v>0.0018</v>
      </c>
      <c r="H40" s="6" t="n">
        <v>0.16684</v>
      </c>
      <c r="I40" s="6" t="n">
        <v>0.22</v>
      </c>
      <c r="J40" s="6" t="n">
        <v>5</v>
      </c>
      <c r="K40" s="6" t="n">
        <v>39.6</v>
      </c>
      <c r="L40" s="6" t="n">
        <v>34.6</v>
      </c>
      <c r="M40" s="6" t="n">
        <v>0.7</v>
      </c>
      <c r="N40" s="6" t="n">
        <v>0.94</v>
      </c>
    </row>
    <row collapsed="false" customFormat="false" customHeight="false" hidden="false" ht="12.1" outlineLevel="0" r="41">
      <c r="A41" s="37" t="n">
        <v>45484</v>
      </c>
      <c r="B41" s="2" t="s">
        <v>803</v>
      </c>
      <c r="C41" s="2" t="s">
        <v>534</v>
      </c>
      <c r="D41" s="2" t="s">
        <v>804</v>
      </c>
      <c r="E41" s="7" t="n">
        <v>10</v>
      </c>
      <c r="F41" s="2" t="s">
        <v>20</v>
      </c>
      <c r="G41" s="6" t="n">
        <v>33.3</v>
      </c>
      <c r="H41" s="6" t="n">
        <v>296</v>
      </c>
      <c r="I41" s="6" t="n">
        <v>138.78</v>
      </c>
      <c r="J41" s="6" t="n">
        <v>43</v>
      </c>
      <c r="K41" s="6" t="n">
        <v>333</v>
      </c>
      <c r="L41" s="6" t="n">
        <v>290</v>
      </c>
      <c r="M41" s="6" t="n">
        <v>20.9</v>
      </c>
      <c r="N41" s="6" t="n">
        <v>9.8</v>
      </c>
    </row>
    <row collapsed="false" customFormat="false" customHeight="false" hidden="false" ht="12.1" outlineLevel="0" r="42">
      <c r="A42" s="37" t="n">
        <v>45488</v>
      </c>
      <c r="B42" s="2" t="s">
        <v>803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412.13</v>
      </c>
      <c r="H42" s="6" t="n">
        <v>5890</v>
      </c>
      <c r="I42" s="6" t="n">
        <v>6424.64</v>
      </c>
      <c r="J42" s="6" t="n">
        <v>54</v>
      </c>
      <c r="K42" s="6" t="n">
        <v>412.13</v>
      </c>
      <c r="L42" s="6" t="n">
        <v>358.13</v>
      </c>
      <c r="M42" s="6" t="n">
        <v>5.57</v>
      </c>
      <c r="N42" s="6" t="n">
        <v>6.08</v>
      </c>
    </row>
    <row collapsed="false" customFormat="false" customHeight="false" hidden="false" ht="12.1" outlineLevel="0" r="43">
      <c r="A43" s="37" t="n">
        <v>45490</v>
      </c>
      <c r="B43" s="2" t="s">
        <v>803</v>
      </c>
      <c r="C43" s="2" t="s">
        <v>60</v>
      </c>
      <c r="D43" s="2" t="s">
        <v>61</v>
      </c>
      <c r="E43" s="7" t="n">
        <v>200</v>
      </c>
      <c r="F43" s="2" t="s">
        <v>20</v>
      </c>
      <c r="G43" s="6" t="n">
        <v>0.52</v>
      </c>
      <c r="H43" s="6" t="n">
        <v>21.288</v>
      </c>
      <c r="I43" s="6" t="n">
        <v>13.16</v>
      </c>
      <c r="J43" s="6" t="n">
        <v>14</v>
      </c>
      <c r="K43" s="6" t="n">
        <v>104</v>
      </c>
      <c r="L43" s="6" t="n">
        <v>90</v>
      </c>
      <c r="M43" s="6" t="n">
        <v>3.42</v>
      </c>
      <c r="N43" s="6" t="n">
        <v>2.11</v>
      </c>
    </row>
    <row collapsed="false" customFormat="false" customHeight="false" hidden="false" ht="12.1" outlineLevel="0" r="44">
      <c r="A44" s="37" t="n">
        <v>45491</v>
      </c>
      <c r="B44" s="2" t="s">
        <v>803</v>
      </c>
      <c r="C44" s="2" t="s">
        <v>49</v>
      </c>
      <c r="D44" s="2" t="s">
        <v>50</v>
      </c>
      <c r="E44" s="7" t="n">
        <v>200</v>
      </c>
      <c r="F44" s="2" t="s">
        <v>20</v>
      </c>
      <c r="G44" s="6" t="n">
        <v>0.85</v>
      </c>
      <c r="H44" s="6" t="n">
        <v>27.855</v>
      </c>
      <c r="I44" s="6" t="n">
        <v>32.29</v>
      </c>
      <c r="J44" s="6" t="n">
        <v>22</v>
      </c>
      <c r="K44" s="6" t="n">
        <v>170</v>
      </c>
      <c r="L44" s="6" t="n">
        <v>148</v>
      </c>
      <c r="M44" s="6" t="n">
        <v>2.29</v>
      </c>
      <c r="N44" s="6" t="n">
        <v>2.66</v>
      </c>
    </row>
    <row collapsed="false" customFormat="false" customHeight="false" hidden="false" ht="12.1" outlineLevel="0" r="45">
      <c r="A45" s="37" t="n">
        <v>45491</v>
      </c>
      <c r="B45" s="2" t="s">
        <v>803</v>
      </c>
      <c r="C45" s="2" t="s">
        <v>68</v>
      </c>
      <c r="D45" s="2" t="s">
        <v>69</v>
      </c>
      <c r="E45" s="7" t="n">
        <v>2</v>
      </c>
      <c r="F45" s="2" t="s">
        <v>20</v>
      </c>
      <c r="G45" s="6" t="n">
        <v>177.2</v>
      </c>
      <c r="H45" s="6" t="n">
        <v>1323.5</v>
      </c>
      <c r="I45" s="6" t="n">
        <v>1438.66</v>
      </c>
      <c r="J45" s="6" t="n">
        <v>46</v>
      </c>
      <c r="K45" s="6" t="n">
        <v>354.4</v>
      </c>
      <c r="L45" s="6" t="n">
        <v>308.4</v>
      </c>
      <c r="M45" s="6" t="n">
        <v>10.72</v>
      </c>
      <c r="N45" s="6" t="n">
        <v>11.65</v>
      </c>
    </row>
    <row collapsed="false" customFormat="false" customHeight="false" hidden="false" ht="12.1" outlineLevel="0" r="46">
      <c r="A46" s="37" t="n">
        <v>45491</v>
      </c>
      <c r="B46" s="2" t="s">
        <v>803</v>
      </c>
      <c r="C46" s="2" t="s">
        <v>52</v>
      </c>
      <c r="D46" s="2" t="s">
        <v>53</v>
      </c>
      <c r="E46" s="7" t="n">
        <v>100</v>
      </c>
      <c r="F46" s="2" t="s">
        <v>20</v>
      </c>
      <c r="G46" s="6" t="n">
        <v>12.29</v>
      </c>
      <c r="H46" s="6" t="n">
        <v>49.27</v>
      </c>
      <c r="I46" s="6" t="n">
        <v>36.42</v>
      </c>
      <c r="J46" s="6" t="n">
        <v>160</v>
      </c>
      <c r="K46" s="6" t="n">
        <v>1229</v>
      </c>
      <c r="L46" s="6" t="n">
        <v>1069</v>
      </c>
      <c r="M46" s="6" t="n">
        <v>29.35</v>
      </c>
      <c r="N46" s="6" t="n">
        <v>21.7</v>
      </c>
    </row>
    <row collapsed="false" customFormat="false" customHeight="false" hidden="false" ht="12.1" outlineLevel="0" r="47">
      <c r="A47" s="37" t="n">
        <v>45545</v>
      </c>
      <c r="B47" s="2" t="s">
        <v>803</v>
      </c>
      <c r="C47" s="2" t="s">
        <v>98</v>
      </c>
      <c r="D47" s="2" t="s">
        <v>99</v>
      </c>
      <c r="E47" s="7" t="n">
        <v>1</v>
      </c>
      <c r="F47" s="2" t="s">
        <v>20</v>
      </c>
      <c r="G47" s="6" t="n">
        <v>31.06</v>
      </c>
      <c r="H47" s="6" t="n">
        <v>1254.2</v>
      </c>
      <c r="I47" s="6" t="n">
        <v>814.29</v>
      </c>
      <c r="J47" s="6" t="n">
        <v>4</v>
      </c>
      <c r="K47" s="6" t="n">
        <v>31.06</v>
      </c>
      <c r="L47" s="6" t="n">
        <v>27.06</v>
      </c>
      <c r="M47" s="6" t="n">
        <v>3.32</v>
      </c>
      <c r="N47" s="6" t="n">
        <v>2.16</v>
      </c>
    </row>
    <row collapsed="false" customFormat="false" customHeight="false" hidden="false" ht="12.1" outlineLevel="0" r="48">
      <c r="A48" s="37" t="n">
        <v>45562</v>
      </c>
      <c r="B48" s="2" t="s">
        <v>803</v>
      </c>
      <c r="C48" s="2" t="s">
        <v>82</v>
      </c>
      <c r="D48" s="2" t="s">
        <v>83</v>
      </c>
      <c r="E48" s="7" t="n">
        <v>20</v>
      </c>
      <c r="F48" s="2" t="s">
        <v>20</v>
      </c>
      <c r="G48" s="6" t="n">
        <v>6.06</v>
      </c>
      <c r="H48" s="6" t="n">
        <v>76.67</v>
      </c>
      <c r="I48" s="6" t="n">
        <v>70.18</v>
      </c>
      <c r="J48" s="6" t="n">
        <v>16</v>
      </c>
      <c r="K48" s="6" t="n">
        <v>121.2</v>
      </c>
      <c r="L48" s="6" t="n">
        <v>105.2</v>
      </c>
      <c r="M48" s="6" t="n">
        <v>7.5</v>
      </c>
      <c r="N48" s="6" t="n">
        <v>6.86</v>
      </c>
    </row>
    <row collapsed="false" customFormat="false" customHeight="false" hidden="false" ht="12.1" outlineLevel="0" r="49">
      <c r="A49" s="37" t="n">
        <v>45571</v>
      </c>
      <c r="B49" s="2" t="s">
        <v>803</v>
      </c>
      <c r="C49" s="2" t="s">
        <v>72</v>
      </c>
      <c r="D49" s="2" t="s">
        <v>73</v>
      </c>
      <c r="E49" s="7" t="n">
        <v>4</v>
      </c>
      <c r="F49" s="2" t="s">
        <v>20</v>
      </c>
      <c r="G49" s="6" t="n">
        <v>10</v>
      </c>
      <c r="H49" s="6" t="n">
        <v>628.5</v>
      </c>
      <c r="I49" s="6" t="n">
        <v>596.43</v>
      </c>
      <c r="J49" s="6" t="n">
        <v>5</v>
      </c>
      <c r="K49" s="6" t="n">
        <v>40</v>
      </c>
      <c r="L49" s="6" t="n">
        <v>35</v>
      </c>
      <c r="M49" s="6" t="n">
        <v>1.47</v>
      </c>
      <c r="N49" s="6" t="n">
        <v>1.39</v>
      </c>
    </row>
    <row collapsed="false" customFormat="false" customHeight="false" hidden="false" ht="12.1" outlineLevel="0" r="50">
      <c r="A50" s="37" t="n">
        <v>45576</v>
      </c>
      <c r="B50" s="2" t="s">
        <v>803</v>
      </c>
      <c r="C50" s="2" t="s">
        <v>43</v>
      </c>
      <c r="D50" s="2" t="s">
        <v>44</v>
      </c>
      <c r="E50" s="7" t="n">
        <v>5</v>
      </c>
      <c r="F50" s="2" t="s">
        <v>20</v>
      </c>
      <c r="G50" s="6" t="n">
        <v>35.5</v>
      </c>
      <c r="H50" s="6" t="n">
        <v>957.8</v>
      </c>
      <c r="I50" s="6" t="n">
        <v>1341.07</v>
      </c>
      <c r="J50" s="6" t="n">
        <v>23</v>
      </c>
      <c r="K50" s="6" t="n">
        <v>177.5</v>
      </c>
      <c r="L50" s="6" t="n">
        <v>154.5</v>
      </c>
      <c r="M50" s="6" t="n">
        <v>2.3</v>
      </c>
      <c r="N50" s="6" t="n">
        <v>3.23</v>
      </c>
    </row>
    <row collapsed="false" customFormat="false" customHeight="false" hidden="false" ht="12.1" outlineLevel="0" r="51">
      <c r="A51" s="37" t="n">
        <v>45576</v>
      </c>
      <c r="B51" s="2" t="s">
        <v>803</v>
      </c>
      <c r="C51" s="2" t="s">
        <v>102</v>
      </c>
      <c r="D51" s="2" t="s">
        <v>103</v>
      </c>
      <c r="E51" s="7" t="n">
        <v>20</v>
      </c>
      <c r="F51" s="2" t="s">
        <v>20</v>
      </c>
      <c r="G51" s="6" t="n">
        <v>4</v>
      </c>
      <c r="H51" s="6" t="n">
        <v>51.92</v>
      </c>
      <c r="I51" s="6" t="n">
        <v>45.32</v>
      </c>
      <c r="J51" s="6" t="n">
        <v>10</v>
      </c>
      <c r="K51" s="6" t="n">
        <v>80</v>
      </c>
      <c r="L51" s="6" t="n">
        <v>70</v>
      </c>
      <c r="M51" s="6" t="n">
        <v>7.72</v>
      </c>
      <c r="N51" s="6" t="n">
        <v>6.74</v>
      </c>
    </row>
    <row collapsed="false" customFormat="false" customHeight="false" hidden="false" ht="12.1" outlineLevel="0" r="52">
      <c r="A52" s="37" t="n">
        <v>45579</v>
      </c>
      <c r="B52" s="2" t="s">
        <v>803</v>
      </c>
      <c r="C52" s="2" t="s">
        <v>40</v>
      </c>
      <c r="D52" s="2" t="s">
        <v>41</v>
      </c>
      <c r="E52" s="7" t="n">
        <v>12</v>
      </c>
      <c r="F52" s="2" t="s">
        <v>20</v>
      </c>
      <c r="G52" s="6" t="n">
        <v>51.96</v>
      </c>
      <c r="H52" s="6" t="n">
        <v>652.1</v>
      </c>
      <c r="I52" s="6" t="n">
        <v>655.45</v>
      </c>
      <c r="J52" s="6" t="n">
        <v>81</v>
      </c>
      <c r="K52" s="6" t="n">
        <v>623.52</v>
      </c>
      <c r="L52" s="6" t="n">
        <v>542.52</v>
      </c>
      <c r="M52" s="6" t="n">
        <v>6.9</v>
      </c>
      <c r="N52" s="6" t="n">
        <v>6.93</v>
      </c>
    </row>
    <row collapsed="false" customFormat="false" customHeight="false" hidden="false" ht="12.1" outlineLevel="0" r="53">
      <c r="A53" s="37" t="n">
        <v>45582</v>
      </c>
      <c r="B53" s="2" t="s">
        <v>803</v>
      </c>
      <c r="C53" s="2" t="s">
        <v>114</v>
      </c>
      <c r="D53" s="2" t="s">
        <v>115</v>
      </c>
      <c r="E53" s="7" t="n">
        <v>10</v>
      </c>
      <c r="F53" s="2" t="s">
        <v>20</v>
      </c>
      <c r="G53" s="6" t="n">
        <v>2.494</v>
      </c>
      <c r="H53" s="6" t="n">
        <v>40.655</v>
      </c>
      <c r="I53" s="6" t="n">
        <v>32.02</v>
      </c>
      <c r="J53" s="6" t="n">
        <v>3</v>
      </c>
      <c r="K53" s="6" t="n">
        <v>24.94</v>
      </c>
      <c r="L53" s="6" t="n">
        <v>21.94</v>
      </c>
      <c r="M53" s="6" t="n">
        <v>6.85</v>
      </c>
      <c r="N53" s="6" t="n">
        <v>5.4</v>
      </c>
    </row>
    <row collapsed="false" customFormat="false" customHeight="false" hidden="false" ht="12.1" outlineLevel="0" r="54">
      <c r="A54" s="37" t="n">
        <v>45584</v>
      </c>
      <c r="B54" s="2" t="s">
        <v>803</v>
      </c>
      <c r="C54" s="2" t="s">
        <v>74</v>
      </c>
      <c r="D54" s="2" t="s">
        <v>75</v>
      </c>
      <c r="E54" s="7" t="n">
        <v>40</v>
      </c>
      <c r="F54" s="2" t="s">
        <v>20</v>
      </c>
      <c r="G54" s="6" t="n">
        <v>2.49</v>
      </c>
      <c r="H54" s="6" t="n">
        <v>52.2</v>
      </c>
      <c r="I54" s="6" t="n">
        <v>69.08</v>
      </c>
      <c r="J54" s="6" t="n">
        <v>13</v>
      </c>
      <c r="K54" s="6" t="n">
        <v>99.6</v>
      </c>
      <c r="L54" s="6" t="n">
        <v>86.6</v>
      </c>
      <c r="M54" s="6" t="n">
        <v>3.13</v>
      </c>
      <c r="N54" s="6" t="n">
        <v>4.15</v>
      </c>
    </row>
    <row collapsed="false" customFormat="false" customHeight="false" hidden="false" ht="12.1" outlineLevel="0" r="55">
      <c r="A55" s="37" t="n">
        <v>45628</v>
      </c>
      <c r="B55" s="2" t="s">
        <v>803</v>
      </c>
      <c r="C55" s="2" t="s">
        <v>72</v>
      </c>
      <c r="D55" s="2" t="s">
        <v>73</v>
      </c>
      <c r="E55" s="7" t="n">
        <v>4</v>
      </c>
      <c r="F55" s="2" t="s">
        <v>20</v>
      </c>
      <c r="G55" s="6" t="n">
        <v>20</v>
      </c>
      <c r="H55" s="6" t="n">
        <v>593</v>
      </c>
      <c r="I55" s="6" t="n">
        <v>596.43</v>
      </c>
      <c r="J55" s="6" t="n">
        <v>10</v>
      </c>
      <c r="K55" s="6" t="n">
        <v>80</v>
      </c>
      <c r="L55" s="6" t="n">
        <v>70</v>
      </c>
      <c r="M55" s="6" t="n">
        <v>2.93</v>
      </c>
      <c r="N55" s="6" t="n">
        <v>2.95</v>
      </c>
    </row>
    <row collapsed="false" customFormat="false" customHeight="false" hidden="false" ht="12.1" outlineLevel="0" r="56">
      <c r="A56" s="37" t="n">
        <v>45632</v>
      </c>
      <c r="B56" s="2" t="s">
        <v>803</v>
      </c>
      <c r="C56" s="2" t="s">
        <v>112</v>
      </c>
      <c r="D56" s="2" t="s">
        <v>113</v>
      </c>
      <c r="E56" s="7" t="n">
        <v>3</v>
      </c>
      <c r="F56" s="2" t="s">
        <v>20</v>
      </c>
      <c r="G56" s="6" t="n">
        <v>2.11</v>
      </c>
      <c r="H56" s="6" t="n">
        <v>145.62</v>
      </c>
      <c r="I56" s="6" t="n">
        <v>220.87</v>
      </c>
      <c r="J56" s="6" t="n">
        <v>1</v>
      </c>
      <c r="K56" s="6" t="n">
        <v>6.33</v>
      </c>
      <c r="L56" s="6" t="n">
        <v>5.33</v>
      </c>
      <c r="M56" s="6" t="n">
        <v>0.8</v>
      </c>
      <c r="N56" s="6" t="n">
        <v>1.22</v>
      </c>
    </row>
    <row collapsed="false" customFormat="false" customHeight="false" hidden="false" ht="12.1" outlineLevel="0" r="57">
      <c r="A57" s="37" t="n">
        <v>45639</v>
      </c>
      <c r="B57" s="2" t="s">
        <v>803</v>
      </c>
      <c r="C57" s="2" t="s">
        <v>548</v>
      </c>
      <c r="D57" s="2" t="s">
        <v>805</v>
      </c>
      <c r="E57" s="7" t="n">
        <v>1</v>
      </c>
      <c r="F57" s="2" t="s">
        <v>20</v>
      </c>
      <c r="G57" s="6" t="n">
        <v>1301.75</v>
      </c>
      <c r="H57" s="6" t="n">
        <v>13692.5</v>
      </c>
      <c r="I57" s="6" t="n">
        <v>11925.04</v>
      </c>
      <c r="J57" s="6" t="n">
        <v>169</v>
      </c>
      <c r="K57" s="6" t="n">
        <v>1301.75</v>
      </c>
      <c r="L57" s="6" t="n">
        <v>1132.75</v>
      </c>
      <c r="M57" s="6" t="n">
        <v>9.5</v>
      </c>
      <c r="N57" s="6" t="n">
        <v>8.27</v>
      </c>
    </row>
    <row collapsed="false" customFormat="false" customHeight="false" hidden="false" ht="12.1" outlineLevel="0" r="58">
      <c r="A58" s="37" t="n">
        <v>45641</v>
      </c>
      <c r="B58" s="2" t="s">
        <v>803</v>
      </c>
      <c r="C58" s="2" t="s">
        <v>92</v>
      </c>
      <c r="D58" s="2" t="s">
        <v>93</v>
      </c>
      <c r="E58" s="7" t="n">
        <v>2</v>
      </c>
      <c r="F58" s="2" t="s">
        <v>20</v>
      </c>
      <c r="G58" s="6" t="n">
        <v>50</v>
      </c>
      <c r="H58" s="6" t="n">
        <v>533.2</v>
      </c>
      <c r="I58" s="6" t="n">
        <v>859.44</v>
      </c>
      <c r="J58" s="6" t="n">
        <v>13</v>
      </c>
      <c r="K58" s="6" t="n">
        <v>100</v>
      </c>
      <c r="L58" s="6" t="n">
        <v>87</v>
      </c>
      <c r="M58" s="6" t="n">
        <v>5.06</v>
      </c>
      <c r="N58" s="6" t="n">
        <v>8.16</v>
      </c>
    </row>
    <row collapsed="false" customFormat="false" customHeight="false" hidden="false" ht="12.1" outlineLevel="0" r="59">
      <c r="A59" s="37" t="n">
        <v>45643</v>
      </c>
      <c r="B59" s="2" t="s">
        <v>803</v>
      </c>
      <c r="C59" s="2" t="s">
        <v>34</v>
      </c>
      <c r="D59" s="2" t="s">
        <v>35</v>
      </c>
      <c r="E59" s="7" t="n">
        <v>1</v>
      </c>
      <c r="F59" s="2" t="s">
        <v>20</v>
      </c>
      <c r="G59" s="6" t="n">
        <v>514</v>
      </c>
      <c r="H59" s="6" t="n">
        <v>6290.5</v>
      </c>
      <c r="I59" s="6" t="n">
        <v>3802.28</v>
      </c>
      <c r="J59" s="6" t="n">
        <v>67</v>
      </c>
      <c r="K59" s="6" t="n">
        <v>514</v>
      </c>
      <c r="L59" s="6" t="n">
        <v>447</v>
      </c>
      <c r="M59" s="6" t="n">
        <v>11.76</v>
      </c>
      <c r="N59" s="6" t="n">
        <v>7.11</v>
      </c>
    </row>
    <row collapsed="false" customFormat="false" customHeight="false" hidden="false" ht="12.1" outlineLevel="0" r="60">
      <c r="A60" s="37" t="n">
        <v>45643</v>
      </c>
      <c r="B60" s="2" t="s">
        <v>803</v>
      </c>
      <c r="C60" s="2" t="s">
        <v>98</v>
      </c>
      <c r="D60" s="2" t="s">
        <v>99</v>
      </c>
      <c r="E60" s="7" t="n">
        <v>1</v>
      </c>
      <c r="F60" s="2" t="s">
        <v>20</v>
      </c>
      <c r="G60" s="6" t="n">
        <v>49.06</v>
      </c>
      <c r="H60" s="6" t="n">
        <v>1016.4</v>
      </c>
      <c r="I60" s="6" t="n">
        <v>814.29</v>
      </c>
      <c r="J60" s="6" t="n">
        <v>6</v>
      </c>
      <c r="K60" s="6" t="n">
        <v>49.06</v>
      </c>
      <c r="L60" s="6" t="n">
        <v>43.06</v>
      </c>
      <c r="M60" s="6" t="n">
        <v>5.29</v>
      </c>
      <c r="N60" s="6" t="n">
        <v>4.24</v>
      </c>
    </row>
    <row collapsed="false" customFormat="false" customHeight="false" hidden="false" ht="12.1" outlineLevel="0" r="61">
      <c r="A61" s="37" t="n">
        <v>45649</v>
      </c>
      <c r="B61" s="2" t="s">
        <v>803</v>
      </c>
      <c r="C61" s="2" t="s">
        <v>96</v>
      </c>
      <c r="D61" s="2" t="s">
        <v>97</v>
      </c>
      <c r="E61" s="7" t="n">
        <v>1</v>
      </c>
      <c r="F61" s="2" t="s">
        <v>20</v>
      </c>
      <c r="G61" s="6" t="n">
        <v>227.6</v>
      </c>
      <c r="H61" s="6" t="n">
        <v>1388</v>
      </c>
      <c r="I61" s="6" t="n">
        <v>1243.79</v>
      </c>
      <c r="J61" s="6" t="n">
        <v>30</v>
      </c>
      <c r="K61" s="6" t="n">
        <v>227.6</v>
      </c>
      <c r="L61" s="6" t="n">
        <v>197.6</v>
      </c>
      <c r="M61" s="6" t="n">
        <v>15.89</v>
      </c>
      <c r="N61" s="6" t="n">
        <v>14.24</v>
      </c>
    </row>
    <row collapsed="false" customFormat="false" customHeight="false" hidden="false" ht="12.1" outlineLevel="0" r="62">
      <c r="A62" s="37" t="n">
        <v>45667</v>
      </c>
      <c r="B62" s="2" t="s">
        <v>803</v>
      </c>
      <c r="C62" s="2" t="s">
        <v>17</v>
      </c>
      <c r="D62" s="2" t="s">
        <v>19</v>
      </c>
      <c r="E62" s="7" t="n">
        <v>117</v>
      </c>
      <c r="F62" s="2" t="s">
        <v>20</v>
      </c>
      <c r="G62" s="6" t="n">
        <v>36.47</v>
      </c>
      <c r="H62" s="6" t="n">
        <v>562.95</v>
      </c>
      <c r="I62" s="6" t="n">
        <v>448.53</v>
      </c>
      <c r="J62" s="6" t="n">
        <v>555</v>
      </c>
      <c r="K62" s="6" t="n">
        <v>4266.99</v>
      </c>
      <c r="L62" s="6" t="n">
        <v>3711.99</v>
      </c>
      <c r="M62" s="6" t="n">
        <v>7.07</v>
      </c>
      <c r="N62" s="6" t="n">
        <v>5.64</v>
      </c>
    </row>
    <row collapsed="false" customFormat="false" customHeight="false" hidden="false" ht="12.1" outlineLevel="0" r="63">
      <c r="A63" s="37" t="n">
        <v>45673</v>
      </c>
      <c r="B63" s="2" t="s">
        <v>803</v>
      </c>
      <c r="C63" s="2" t="s">
        <v>90</v>
      </c>
      <c r="D63" s="2" t="s">
        <v>91</v>
      </c>
      <c r="E63" s="7" t="n">
        <v>3</v>
      </c>
      <c r="F63" s="2" t="s">
        <v>20</v>
      </c>
      <c r="G63" s="6" t="n">
        <v>2.6447</v>
      </c>
      <c r="H63" s="6" t="n">
        <v>495.6</v>
      </c>
      <c r="I63" s="6" t="n">
        <v>555.28</v>
      </c>
      <c r="J63" s="6" t="n">
        <v>1</v>
      </c>
      <c r="K63" s="6" t="n">
        <v>7.934</v>
      </c>
      <c r="L63" s="6" t="n">
        <v>6.93</v>
      </c>
      <c r="M63" s="6" t="n">
        <v>0.42</v>
      </c>
      <c r="N63" s="6" t="n">
        <v>0.47</v>
      </c>
    </row>
    <row collapsed="false" customFormat="false" customHeight="false" hidden="false" ht="12.1" outlineLevel="0" r="64">
      <c r="A64" s="37" t="n">
        <v>45772</v>
      </c>
      <c r="B64" s="2" t="s">
        <v>803</v>
      </c>
      <c r="C64" s="2" t="s">
        <v>548</v>
      </c>
      <c r="D64" s="2" t="s">
        <v>805</v>
      </c>
      <c r="E64" s="7" t="n">
        <v>10</v>
      </c>
      <c r="F64" s="2" t="s">
        <v>20</v>
      </c>
      <c r="G64" s="6" t="n">
        <v>73</v>
      </c>
      <c r="H64" s="6" t="n">
        <v>1856.8</v>
      </c>
      <c r="I64" s="6" t="n">
        <v>1192.5</v>
      </c>
      <c r="J64" s="6" t="n">
        <v>95</v>
      </c>
      <c r="K64" s="6" t="n">
        <v>730</v>
      </c>
      <c r="L64" s="6" t="n">
        <v>635</v>
      </c>
      <c r="M64" s="6" t="n">
        <v>5.32</v>
      </c>
      <c r="N64" s="6" t="n">
        <v>3.42</v>
      </c>
    </row>
    <row collapsed="false" customFormat="false" customHeight="false" hidden="false" ht="12.1" outlineLevel="0" r="65">
      <c r="A65" s="37" t="n">
        <v>45775</v>
      </c>
      <c r="B65" s="2" t="s">
        <v>803</v>
      </c>
      <c r="C65" s="2" t="s">
        <v>43</v>
      </c>
      <c r="D65" s="2" t="s">
        <v>44</v>
      </c>
      <c r="E65" s="7" t="n">
        <v>5</v>
      </c>
      <c r="F65" s="2" t="s">
        <v>20</v>
      </c>
      <c r="G65" s="6" t="n">
        <v>46.65</v>
      </c>
      <c r="H65" s="6" t="n">
        <v>1266.2</v>
      </c>
      <c r="I65" s="6" t="n">
        <v>1341.07</v>
      </c>
      <c r="J65" s="6" t="n">
        <v>30</v>
      </c>
      <c r="K65" s="6" t="n">
        <v>233.25</v>
      </c>
      <c r="L65" s="6" t="n">
        <v>203.25</v>
      </c>
      <c r="M65" s="6" t="n">
        <v>3.03</v>
      </c>
      <c r="N65" s="6" t="n">
        <v>3.21</v>
      </c>
    </row>
    <row collapsed="false" customFormat="false" customHeight="false" hidden="false" ht="12.1" outlineLevel="0" r="66">
      <c r="A66" s="37" t="n">
        <v>45776</v>
      </c>
      <c r="B66" s="2" t="s">
        <v>803</v>
      </c>
      <c r="C66" s="2" t="s">
        <v>104</v>
      </c>
      <c r="D66" s="2" t="s">
        <v>105</v>
      </c>
      <c r="E66" s="7" t="n">
        <v>1</v>
      </c>
      <c r="F66" s="2" t="s">
        <v>20</v>
      </c>
      <c r="G66" s="6" t="n">
        <v>78</v>
      </c>
      <c r="H66" s="6" t="n">
        <v>780.2</v>
      </c>
      <c r="I66" s="6" t="n">
        <v>498.25</v>
      </c>
      <c r="J66" s="6" t="n">
        <v>10</v>
      </c>
      <c r="K66" s="6" t="n">
        <v>78</v>
      </c>
      <c r="L66" s="6" t="n">
        <v>68</v>
      </c>
      <c r="M66" s="6" t="n">
        <v>13.65</v>
      </c>
      <c r="N66" s="6" t="n">
        <v>8.72</v>
      </c>
    </row>
    <row collapsed="false" customFormat="false" customHeight="false" hidden="false" ht="12.1" outlineLevel="0" r="67">
      <c r="A67" s="37" t="n">
        <v>45811</v>
      </c>
      <c r="B67" s="2" t="s">
        <v>803</v>
      </c>
      <c r="C67" s="2" t="s">
        <v>34</v>
      </c>
      <c r="D67" s="2" t="s">
        <v>35</v>
      </c>
      <c r="E67" s="7" t="n">
        <v>1</v>
      </c>
      <c r="F67" s="2" t="s">
        <v>20</v>
      </c>
      <c r="G67" s="6" t="n">
        <v>541</v>
      </c>
      <c r="H67" s="6" t="n">
        <v>6473</v>
      </c>
      <c r="I67" s="6" t="n">
        <v>3802.28</v>
      </c>
      <c r="J67" s="6" t="n">
        <v>70</v>
      </c>
      <c r="K67" s="6" t="n">
        <v>541</v>
      </c>
      <c r="L67" s="6" t="n">
        <v>471</v>
      </c>
      <c r="M67" s="6" t="n">
        <v>12.39</v>
      </c>
      <c r="N67" s="6" t="n">
        <v>7.28</v>
      </c>
    </row>
    <row collapsed="false" customFormat="false" customHeight="false" hidden="false" ht="12.1" outlineLevel="0" r="68">
      <c r="A68" s="37" t="n">
        <v>45815</v>
      </c>
      <c r="B68" s="2" t="s">
        <v>803</v>
      </c>
      <c r="C68" s="2" t="s">
        <v>92</v>
      </c>
      <c r="D68" s="2" t="s">
        <v>93</v>
      </c>
      <c r="E68" s="7" t="n">
        <v>2</v>
      </c>
      <c r="F68" s="2" t="s">
        <v>20</v>
      </c>
      <c r="G68" s="6" t="n">
        <v>29</v>
      </c>
      <c r="H68" s="6" t="n">
        <v>618</v>
      </c>
      <c r="I68" s="6" t="n">
        <v>859.44</v>
      </c>
      <c r="J68" s="6" t="n">
        <v>8</v>
      </c>
      <c r="K68" s="6" t="n">
        <v>58</v>
      </c>
      <c r="L68" s="6" t="n">
        <v>50</v>
      </c>
      <c r="M68" s="6" t="n">
        <v>2.91</v>
      </c>
      <c r="N68" s="6" t="n">
        <v>4.05</v>
      </c>
    </row>
    <row collapsed="false" customFormat="false" customHeight="false" hidden="false" ht="12.1" outlineLevel="0" r="69">
      <c r="A69" s="37" t="n">
        <v>45817</v>
      </c>
      <c r="B69" s="2" t="s">
        <v>803</v>
      </c>
      <c r="C69" s="2" t="s">
        <v>96</v>
      </c>
      <c r="D69" s="2" t="s">
        <v>97</v>
      </c>
      <c r="E69" s="7" t="n">
        <v>1</v>
      </c>
      <c r="F69" s="2" t="s">
        <v>20</v>
      </c>
      <c r="G69" s="6" t="n">
        <v>83.5</v>
      </c>
      <c r="H69" s="6" t="n">
        <v>1291.8</v>
      </c>
      <c r="I69" s="6" t="n">
        <v>1243.79</v>
      </c>
      <c r="J69" s="6" t="n">
        <v>11</v>
      </c>
      <c r="K69" s="6" t="n">
        <v>83.5</v>
      </c>
      <c r="L69" s="6" t="n">
        <v>72.5</v>
      </c>
      <c r="M69" s="6" t="n">
        <v>5.83</v>
      </c>
      <c r="N69" s="6" t="n">
        <v>5.61</v>
      </c>
    </row>
    <row collapsed="false" customFormat="false" customHeight="false" hidden="false" ht="12.1" outlineLevel="0" r="70">
      <c r="A70" s="37" t="n">
        <v>45817</v>
      </c>
      <c r="B70" s="2" t="s">
        <v>803</v>
      </c>
      <c r="C70" s="2" t="s">
        <v>88</v>
      </c>
      <c r="D70" s="2" t="s">
        <v>89</v>
      </c>
      <c r="E70" s="7" t="n">
        <v>400</v>
      </c>
      <c r="F70" s="2" t="s">
        <v>20</v>
      </c>
      <c r="G70" s="6" t="n">
        <v>0.3538</v>
      </c>
      <c r="H70" s="6" t="n">
        <v>3.276</v>
      </c>
      <c r="I70" s="6" t="n">
        <v>3.21</v>
      </c>
      <c r="J70" s="6" t="n">
        <v>18</v>
      </c>
      <c r="K70" s="6" t="n">
        <v>141.5026</v>
      </c>
      <c r="L70" s="6" t="n">
        <v>123.5</v>
      </c>
      <c r="M70" s="6" t="n">
        <v>9.62</v>
      </c>
      <c r="N70" s="6" t="n">
        <v>9.42</v>
      </c>
    </row>
    <row collapsed="false" customFormat="false" customHeight="false" hidden="false" ht="12.1" outlineLevel="0" r="71">
      <c r="A71" s="37" t="n">
        <v>45845</v>
      </c>
      <c r="B71" s="2" t="s">
        <v>803</v>
      </c>
      <c r="C71" s="2" t="s">
        <v>72</v>
      </c>
      <c r="D71" s="2" t="s">
        <v>73</v>
      </c>
      <c r="E71" s="7" t="n">
        <v>4</v>
      </c>
      <c r="F71" s="2" t="s">
        <v>20</v>
      </c>
      <c r="G71" s="6" t="n">
        <v>10</v>
      </c>
      <c r="H71" s="6" t="n">
        <v>624.5</v>
      </c>
      <c r="I71" s="6" t="n">
        <v>596.43</v>
      </c>
      <c r="J71" s="6" t="n">
        <v>5</v>
      </c>
      <c r="K71" s="6" t="n">
        <v>40</v>
      </c>
      <c r="L71" s="6" t="n">
        <v>35</v>
      </c>
      <c r="M71" s="6" t="n">
        <v>1.47</v>
      </c>
      <c r="N71" s="6" t="n">
        <v>1.4</v>
      </c>
    </row>
    <row collapsed="false" customFormat="false" customHeight="false" hidden="false" ht="12.1" outlineLevel="0" r="72">
      <c r="A72" s="37" t="n">
        <v>45846</v>
      </c>
      <c r="B72" s="2" t="s">
        <v>803</v>
      </c>
      <c r="C72" s="2" t="s">
        <v>28</v>
      </c>
      <c r="D72" s="2" t="s">
        <v>29</v>
      </c>
      <c r="E72" s="7" t="n">
        <v>500</v>
      </c>
      <c r="F72" s="2" t="s">
        <v>20</v>
      </c>
      <c r="G72" s="6" t="n">
        <v>0.35</v>
      </c>
      <c r="H72" s="6" t="n">
        <v>15.54</v>
      </c>
      <c r="I72" s="6" t="n">
        <v>14.75</v>
      </c>
      <c r="J72" s="6" t="n">
        <v>23</v>
      </c>
      <c r="K72" s="6" t="n">
        <v>175</v>
      </c>
      <c r="L72" s="6" t="n">
        <v>152</v>
      </c>
      <c r="M72" s="6" t="n">
        <v>2.06</v>
      </c>
      <c r="N72" s="6" t="n">
        <v>1.96</v>
      </c>
    </row>
    <row collapsed="false" customFormat="false" customHeight="false" hidden="false" ht="12.1" outlineLevel="0" r="73">
      <c r="A73" s="37" t="n">
        <v>45846</v>
      </c>
      <c r="B73" s="2" t="s">
        <v>803</v>
      </c>
      <c r="C73" s="2" t="s">
        <v>40</v>
      </c>
      <c r="D73" s="2" t="s">
        <v>41</v>
      </c>
      <c r="E73" s="7" t="n">
        <v>12</v>
      </c>
      <c r="F73" s="2" t="s">
        <v>20</v>
      </c>
      <c r="G73" s="6" t="n">
        <v>27.21</v>
      </c>
      <c r="H73" s="6" t="n">
        <v>507.5</v>
      </c>
      <c r="I73" s="6" t="n">
        <v>655.45</v>
      </c>
      <c r="J73" s="6" t="n">
        <v>42</v>
      </c>
      <c r="K73" s="6" t="n">
        <v>326.52</v>
      </c>
      <c r="L73" s="6" t="n">
        <v>284.52</v>
      </c>
      <c r="M73" s="6" t="n">
        <v>3.62</v>
      </c>
      <c r="N73" s="6" t="n">
        <v>4.67</v>
      </c>
    </row>
    <row collapsed="false" customFormat="false" customHeight="false" hidden="false" ht="12.1" outlineLevel="0" r="74">
      <c r="A74" s="37" t="n">
        <v>45848</v>
      </c>
      <c r="B74" s="2" t="s">
        <v>803</v>
      </c>
      <c r="C74" s="2" t="s">
        <v>76</v>
      </c>
      <c r="D74" s="2" t="s">
        <v>77</v>
      </c>
      <c r="E74" s="7" t="n">
        <v>10</v>
      </c>
      <c r="F74" s="2" t="s">
        <v>20</v>
      </c>
      <c r="G74" s="6" t="n">
        <v>26.11</v>
      </c>
      <c r="H74" s="6" t="n">
        <v>172.73</v>
      </c>
      <c r="I74" s="6" t="n">
        <v>92.76</v>
      </c>
      <c r="J74" s="6" t="n">
        <v>34</v>
      </c>
      <c r="K74" s="6" t="n">
        <v>261.1</v>
      </c>
      <c r="L74" s="6" t="n">
        <v>227.1</v>
      </c>
      <c r="M74" s="6" t="n">
        <v>24.48</v>
      </c>
      <c r="N74" s="6" t="n">
        <v>13.15</v>
      </c>
    </row>
    <row collapsed="false" customFormat="false" customHeight="false" hidden="false" ht="12.1" outlineLevel="0" r="75">
      <c r="A75" s="37" t="n">
        <v>45848</v>
      </c>
      <c r="B75" s="2" t="s">
        <v>803</v>
      </c>
      <c r="C75" s="2" t="s">
        <v>90</v>
      </c>
      <c r="D75" s="2" t="s">
        <v>91</v>
      </c>
      <c r="E75" s="7" t="n">
        <v>3</v>
      </c>
      <c r="F75" s="2" t="s">
        <v>20</v>
      </c>
      <c r="G75" s="6" t="n">
        <v>3.1475</v>
      </c>
      <c r="H75" s="6" t="n">
        <v>379</v>
      </c>
      <c r="I75" s="6" t="n">
        <v>555.28</v>
      </c>
      <c r="J75" s="6" t="n">
        <v>1</v>
      </c>
      <c r="K75" s="6" t="n">
        <v>9.4426</v>
      </c>
      <c r="L75" s="6" t="n">
        <v>8.44</v>
      </c>
      <c r="M75" s="6" t="n">
        <v>0.51</v>
      </c>
      <c r="N75" s="6" t="n">
        <v>0.74</v>
      </c>
    </row>
    <row collapsed="false" customFormat="false" customHeight="false" hidden="false" ht="12.1" outlineLevel="0" r="76">
      <c r="A76" s="37" t="n">
        <v>45852</v>
      </c>
      <c r="B76" s="2" t="s">
        <v>803</v>
      </c>
      <c r="C76" s="2" t="s">
        <v>66</v>
      </c>
      <c r="D76" s="2" t="s">
        <v>67</v>
      </c>
      <c r="E76" s="7" t="n">
        <v>22000</v>
      </c>
      <c r="F76" s="2" t="s">
        <v>20</v>
      </c>
      <c r="G76" s="6" t="n">
        <v>0.0035</v>
      </c>
      <c r="H76" s="6" t="n">
        <v>0.13125</v>
      </c>
      <c r="I76" s="6" t="n">
        <v>0.22</v>
      </c>
      <c r="J76" s="6" t="n">
        <v>10</v>
      </c>
      <c r="K76" s="6" t="n">
        <v>77.77</v>
      </c>
      <c r="L76" s="6" t="n">
        <v>67.77</v>
      </c>
      <c r="M76" s="6" t="n">
        <v>1.38</v>
      </c>
      <c r="N76" s="6" t="n">
        <v>2.35</v>
      </c>
    </row>
    <row collapsed="false" customFormat="false" customHeight="false" hidden="false" ht="12.1" outlineLevel="0" r="77">
      <c r="A77" s="37" t="n">
        <v>45852</v>
      </c>
      <c r="B77" s="2" t="s">
        <v>803</v>
      </c>
      <c r="C77" s="2" t="s">
        <v>25</v>
      </c>
      <c r="D77" s="2" t="s">
        <v>26</v>
      </c>
      <c r="E77" s="7" t="n">
        <v>900</v>
      </c>
      <c r="F77" s="2" t="s">
        <v>20</v>
      </c>
      <c r="G77" s="6" t="n">
        <v>0.9573</v>
      </c>
      <c r="H77" s="6" t="n">
        <v>8.565</v>
      </c>
      <c r="I77" s="6" t="n">
        <v>8.33</v>
      </c>
      <c r="J77" s="6" t="n">
        <v>112</v>
      </c>
      <c r="K77" s="6" t="n">
        <v>861.57</v>
      </c>
      <c r="L77" s="6" t="n">
        <v>749.57</v>
      </c>
      <c r="M77" s="6" t="n">
        <v>10</v>
      </c>
      <c r="N77" s="6" t="n">
        <v>9.72</v>
      </c>
    </row>
    <row collapsed="false" customFormat="false" customHeight="false" hidden="false" ht="12.1" outlineLevel="0" r="78">
      <c r="A78" s="37" t="n">
        <v>45855</v>
      </c>
      <c r="B78" s="2" t="s">
        <v>803</v>
      </c>
      <c r="C78" s="2" t="s">
        <v>49</v>
      </c>
      <c r="D78" s="2" t="s">
        <v>50</v>
      </c>
      <c r="E78" s="7" t="n">
        <v>200</v>
      </c>
      <c r="F78" s="2" t="s">
        <v>20</v>
      </c>
      <c r="G78" s="6" t="n">
        <v>0.9</v>
      </c>
      <c r="H78" s="6" t="n">
        <v>22.07</v>
      </c>
      <c r="I78" s="6" t="n">
        <v>32.29</v>
      </c>
      <c r="J78" s="6" t="n">
        <v>23</v>
      </c>
      <c r="K78" s="6" t="n">
        <v>180</v>
      </c>
      <c r="L78" s="6" t="n">
        <v>157</v>
      </c>
      <c r="M78" s="6" t="n">
        <v>2.43</v>
      </c>
      <c r="N78" s="6" t="n">
        <v>3.56</v>
      </c>
    </row>
    <row collapsed="false" customFormat="false" customHeight="false" hidden="false" ht="12.1" outlineLevel="0" r="79">
      <c r="A79" s="37" t="n">
        <v>45855</v>
      </c>
      <c r="B79" s="2" t="s">
        <v>803</v>
      </c>
      <c r="C79" s="2" t="s">
        <v>68</v>
      </c>
      <c r="D79" s="2" t="s">
        <v>69</v>
      </c>
      <c r="E79" s="7" t="n">
        <v>2</v>
      </c>
      <c r="F79" s="2" t="s">
        <v>20</v>
      </c>
      <c r="G79" s="6" t="n">
        <v>198.25</v>
      </c>
      <c r="H79" s="6" t="n">
        <v>1306</v>
      </c>
      <c r="I79" s="6" t="n">
        <v>1438.66</v>
      </c>
      <c r="J79" s="6" t="n">
        <v>52</v>
      </c>
      <c r="K79" s="6" t="n">
        <v>396.5</v>
      </c>
      <c r="L79" s="6" t="n">
        <v>344.5</v>
      </c>
      <c r="M79" s="6" t="n">
        <v>11.97</v>
      </c>
      <c r="N79" s="6" t="n">
        <v>13.19</v>
      </c>
    </row>
    <row collapsed="false" customFormat="false" customHeight="false" hidden="false" ht="12.1" outlineLevel="0" r="80">
      <c r="A80" s="37" t="n">
        <v>45855</v>
      </c>
      <c r="B80" s="2" t="s">
        <v>803</v>
      </c>
      <c r="C80" s="2" t="s">
        <v>52</v>
      </c>
      <c r="D80" s="2" t="s">
        <v>53</v>
      </c>
      <c r="E80" s="7" t="n">
        <v>100</v>
      </c>
      <c r="F80" s="2" t="s">
        <v>20</v>
      </c>
      <c r="G80" s="6" t="n">
        <v>8.5</v>
      </c>
      <c r="H80" s="6" t="n">
        <v>45.38</v>
      </c>
      <c r="I80" s="6" t="n">
        <v>36.42</v>
      </c>
      <c r="J80" s="6" t="n">
        <v>111</v>
      </c>
      <c r="K80" s="6" t="n">
        <v>850</v>
      </c>
      <c r="L80" s="6" t="n">
        <v>739</v>
      </c>
      <c r="M80" s="6" t="n">
        <v>20.29</v>
      </c>
      <c r="N80" s="6" t="n">
        <v>16.28</v>
      </c>
    </row>
    <row collapsed="false" customFormat="false" customHeight="false" hidden="false" ht="12.1" outlineLevel="0" r="81">
      <c r="A81" s="37" t="n">
        <v>45858</v>
      </c>
      <c r="B81" s="2" t="s">
        <v>803</v>
      </c>
      <c r="C81" s="2" t="s">
        <v>17</v>
      </c>
      <c r="D81" s="2" t="s">
        <v>19</v>
      </c>
      <c r="E81" s="7" t="n">
        <v>117</v>
      </c>
      <c r="F81" s="2" t="s">
        <v>20</v>
      </c>
      <c r="G81" s="6" t="n">
        <v>14.68</v>
      </c>
      <c r="H81" s="6" t="n">
        <v>418.25</v>
      </c>
      <c r="I81" s="6" t="n">
        <v>448.53</v>
      </c>
      <c r="J81" s="6" t="n">
        <v>223</v>
      </c>
      <c r="K81" s="6" t="n">
        <v>1717.56</v>
      </c>
      <c r="L81" s="6" t="n">
        <v>1494.56</v>
      </c>
      <c r="M81" s="6" t="n">
        <v>2.85</v>
      </c>
      <c r="N81" s="6" t="n">
        <v>3.05</v>
      </c>
    </row>
    <row collapsed="false" customFormat="false" customHeight="false" hidden="false" ht="12.1" outlineLevel="0" r="82">
      <c r="A82" s="37" t="n">
        <v>45856</v>
      </c>
      <c r="B82" s="2" t="s">
        <v>803</v>
      </c>
      <c r="C82" s="2" t="s">
        <v>22</v>
      </c>
      <c r="D82" s="2" t="s">
        <v>23</v>
      </c>
      <c r="E82" s="7" t="n">
        <v>50</v>
      </c>
      <c r="F82" s="2" t="s">
        <v>20</v>
      </c>
      <c r="G82" s="6" t="n">
        <v>34.84</v>
      </c>
      <c r="H82" s="6" t="n">
        <v>309</v>
      </c>
      <c r="I82" s="6" t="n">
        <v>226.86</v>
      </c>
      <c r="J82" s="6" t="n">
        <v>226</v>
      </c>
      <c r="K82" s="6" t="n">
        <v>1742</v>
      </c>
      <c r="L82" s="6" t="n">
        <v>1516</v>
      </c>
      <c r="M82" s="6" t="n">
        <v>13.37</v>
      </c>
      <c r="N82" s="6" t="n">
        <v>9.81</v>
      </c>
    </row>
    <row collapsed="false" customFormat="false" customHeight="false" hidden="false" ht="12.1" outlineLevel="0" r="83">
      <c r="A83" s="37" t="n">
        <v>45882</v>
      </c>
      <c r="B83" s="2" t="s">
        <v>803</v>
      </c>
      <c r="C83" s="2" t="s">
        <v>82</v>
      </c>
      <c r="D83" s="2" t="s">
        <v>83</v>
      </c>
      <c r="E83" s="7" t="n">
        <v>20</v>
      </c>
      <c r="F83" s="2" t="s">
        <v>20</v>
      </c>
      <c r="G83" s="6" t="n">
        <v>2.71</v>
      </c>
      <c r="H83" s="6" t="n">
        <v>69.5</v>
      </c>
      <c r="I83" s="6" t="n">
        <v>70.18</v>
      </c>
      <c r="J83" s="6" t="n">
        <v>7</v>
      </c>
      <c r="K83" s="6" t="n">
        <v>54.2</v>
      </c>
      <c r="L83" s="6" t="n">
        <v>47.2</v>
      </c>
      <c r="M83" s="6" t="n">
        <v>3.36</v>
      </c>
      <c r="N83" s="6" t="n">
        <v>3.4</v>
      </c>
    </row>
    <row collapsed="false" customFormat="false" customHeight="false" hidden="false" ht="12.1" outlineLevel="0" r="84">
      <c r="A84" s="37"/>
      <c r="B84" s="2"/>
      <c r="C84" s="2"/>
      <c r="D84" s="2"/>
      <c r="E84" s="7"/>
      <c r="F84" s="2"/>
      <c r="G84" s="6"/>
      <c r="H84" s="6"/>
      <c r="I84" s="6"/>
      <c r="J84" s="6"/>
      <c r="K84" s="6"/>
      <c r="L84" s="6"/>
      <c r="M84" s="6"/>
      <c r="N84" s="6"/>
    </row>
    <row collapsed="false" customFormat="false" customHeight="false" hidden="false" ht="12.1" outlineLevel="0" r="85">
      <c r="A85" s="37" t="n">
        <v>45936</v>
      </c>
      <c r="B85" s="2" t="s">
        <v>803</v>
      </c>
      <c r="C85" s="2" t="s">
        <v>43</v>
      </c>
      <c r="D85" s="2" t="s">
        <v>44</v>
      </c>
      <c r="E85" s="7" t="n">
        <v>5</v>
      </c>
      <c r="F85" s="2" t="s">
        <v>20</v>
      </c>
      <c r="G85" s="6" t="n">
        <v>35.5</v>
      </c>
      <c r="H85" s="6" t="n">
        <v>1250.8</v>
      </c>
      <c r="I85" s="6" t="n">
        <v>1341.07</v>
      </c>
      <c r="J85" s="6" t="n">
        <v>23</v>
      </c>
      <c r="K85" s="6" t="n">
        <v>177.5</v>
      </c>
      <c r="L85" s="6" t="n">
        <v>154.5</v>
      </c>
      <c r="M85" s="6" t="n">
        <v>2.3</v>
      </c>
      <c r="N85" s="6" t="n">
        <v>2.47</v>
      </c>
    </row>
    <row collapsed="false" customFormat="false" customHeight="false" hidden="false" ht="12.1" outlineLevel="0" r="86">
      <c r="A86" s="37" t="n">
        <v>45943</v>
      </c>
      <c r="B86" s="2" t="s">
        <v>803</v>
      </c>
      <c r="C86" s="2" t="s">
        <v>40</v>
      </c>
      <c r="D86" s="2" t="s">
        <v>41</v>
      </c>
      <c r="E86" s="7" t="n">
        <v>12</v>
      </c>
      <c r="F86" s="2" t="s">
        <v>20</v>
      </c>
      <c r="G86" s="6" t="n">
        <v>17.3</v>
      </c>
      <c r="H86" s="6" t="n">
        <v>531.1</v>
      </c>
      <c r="I86" s="6" t="n">
        <v>655.45</v>
      </c>
      <c r="J86" s="6" t="n">
        <v>27</v>
      </c>
      <c r="K86" s="6" t="n">
        <v>207.6</v>
      </c>
      <c r="L86" s="6" t="n">
        <v>180.6</v>
      </c>
      <c r="M86" s="6" t="n">
        <v>2.3</v>
      </c>
      <c r="N86" s="6" t="n">
        <v>2.83</v>
      </c>
    </row>
  </sheetData>
  <autoFilter ref="A1:N8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0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249</v>
      </c>
      <c r="B1" s="38" t="s">
        <v>793</v>
      </c>
      <c r="C1" s="38" t="s">
        <v>0</v>
      </c>
      <c r="D1" s="38" t="s">
        <v>2</v>
      </c>
      <c r="E1" s="38" t="s">
        <v>6</v>
      </c>
      <c r="F1" s="38" t="s">
        <v>794</v>
      </c>
      <c r="G1" s="38" t="s">
        <v>806</v>
      </c>
      <c r="H1" s="38" t="s">
        <v>798</v>
      </c>
      <c r="I1" s="38" t="s">
        <v>799</v>
      </c>
      <c r="J1" s="38" t="s">
        <v>800</v>
      </c>
    </row>
    <row collapsed="false" customFormat="false" customHeight="false" hidden="false" ht="12.1" outlineLevel="0" r="2">
      <c r="A2" s="39" t="n">
        <v>44824</v>
      </c>
      <c r="B2" s="2" t="s">
        <v>803</v>
      </c>
      <c r="C2" s="2" t="s">
        <v>536</v>
      </c>
      <c r="D2" s="2" t="s">
        <v>807</v>
      </c>
      <c r="E2" s="6" t="n">
        <v>1000</v>
      </c>
      <c r="F2" s="7" t="n">
        <v>1</v>
      </c>
      <c r="G2" s="6" t="n">
        <v>26.93</v>
      </c>
      <c r="H2" s="6" t="n">
        <v>4</v>
      </c>
      <c r="I2" s="6" t="n">
        <v>26.93</v>
      </c>
      <c r="J2" s="6" t="n">
        <v>22.93</v>
      </c>
    </row>
    <row collapsed="false" customFormat="false" customHeight="false" hidden="false" ht="12.1" outlineLevel="0" r="3">
      <c r="A3" s="39" t="n">
        <v>45088</v>
      </c>
      <c r="B3" s="2" t="s">
        <v>803</v>
      </c>
      <c r="C3" s="2" t="s">
        <v>236</v>
      </c>
      <c r="D3" s="2" t="s">
        <v>237</v>
      </c>
      <c r="E3" s="6" t="n">
        <v>1000</v>
      </c>
      <c r="F3" s="7" t="n">
        <v>1</v>
      </c>
      <c r="G3" s="6" t="n">
        <v>30.92</v>
      </c>
      <c r="H3" s="6" t="n">
        <v>4</v>
      </c>
      <c r="I3" s="6" t="n">
        <v>30.92</v>
      </c>
      <c r="J3" s="6" t="n">
        <v>26.92</v>
      </c>
    </row>
    <row collapsed="false" customFormat="false" customHeight="false" hidden="false" ht="12.1" outlineLevel="0" r="4">
      <c r="A4" s="39" t="n">
        <v>45270</v>
      </c>
      <c r="B4" s="2" t="s">
        <v>803</v>
      </c>
      <c r="C4" s="2" t="s">
        <v>236</v>
      </c>
      <c r="D4" s="2" t="s">
        <v>237</v>
      </c>
      <c r="E4" s="6" t="n">
        <v>1000</v>
      </c>
      <c r="F4" s="7" t="n">
        <v>1</v>
      </c>
      <c r="G4" s="6" t="n">
        <v>30.92</v>
      </c>
      <c r="H4" s="6" t="n">
        <v>4</v>
      </c>
      <c r="I4" s="6" t="n">
        <v>30.92</v>
      </c>
      <c r="J4" s="6" t="n">
        <v>26.92</v>
      </c>
    </row>
    <row collapsed="false" customFormat="false" customHeight="false" hidden="false" ht="12.1" outlineLevel="0" r="5">
      <c r="A5" s="39" t="n">
        <v>45289</v>
      </c>
      <c r="B5" s="2" t="s">
        <v>803</v>
      </c>
      <c r="C5" s="2" t="s">
        <v>155</v>
      </c>
      <c r="D5" s="2" t="s">
        <v>156</v>
      </c>
      <c r="E5" s="6" t="n">
        <v>1000</v>
      </c>
      <c r="F5" s="7" t="n">
        <v>3</v>
      </c>
      <c r="G5" s="6" t="n">
        <v>11.18</v>
      </c>
      <c r="H5" s="6" t="n">
        <v>4</v>
      </c>
      <c r="I5" s="6" t="n">
        <v>33.54</v>
      </c>
      <c r="J5" s="6" t="n">
        <v>29.54</v>
      </c>
    </row>
    <row collapsed="false" customFormat="false" customHeight="false" hidden="false" ht="12.1" outlineLevel="0" r="6">
      <c r="A6" s="39" t="n">
        <v>45296</v>
      </c>
      <c r="B6" s="2" t="s">
        <v>803</v>
      </c>
      <c r="C6" s="2" t="s">
        <v>188</v>
      </c>
      <c r="D6" s="2" t="s">
        <v>189</v>
      </c>
      <c r="E6" s="6" t="n">
        <v>1000</v>
      </c>
      <c r="F6" s="7" t="n">
        <v>1</v>
      </c>
      <c r="G6" s="6" t="n">
        <v>11.26</v>
      </c>
      <c r="H6" s="6" t="n">
        <v>1</v>
      </c>
      <c r="I6" s="6" t="n">
        <v>11.26</v>
      </c>
      <c r="J6" s="6" t="n">
        <v>10.26</v>
      </c>
    </row>
    <row collapsed="false" customFormat="false" customHeight="false" hidden="false" ht="12.1" outlineLevel="0" r="7">
      <c r="A7" s="39" t="n">
        <v>45299</v>
      </c>
      <c r="B7" s="2" t="s">
        <v>803</v>
      </c>
      <c r="C7" s="2" t="s">
        <v>542</v>
      </c>
      <c r="D7" s="2" t="s">
        <v>808</v>
      </c>
      <c r="E7" s="6" t="n">
        <v>1000</v>
      </c>
      <c r="F7" s="7" t="n">
        <v>2</v>
      </c>
      <c r="G7" s="6" t="n">
        <v>44.88</v>
      </c>
      <c r="H7" s="6" t="n">
        <v>12</v>
      </c>
      <c r="I7" s="6" t="n">
        <v>89.76</v>
      </c>
      <c r="J7" s="6" t="n">
        <v>77.76</v>
      </c>
    </row>
    <row collapsed="false" customFormat="false" customHeight="false" hidden="false" ht="12.1" outlineLevel="0" r="8">
      <c r="A8" s="39" t="n">
        <v>45304</v>
      </c>
      <c r="B8" s="2" t="s">
        <v>803</v>
      </c>
      <c r="C8" s="2" t="s">
        <v>541</v>
      </c>
      <c r="D8" s="2" t="s">
        <v>809</v>
      </c>
      <c r="E8" s="6" t="n">
        <v>1000</v>
      </c>
      <c r="F8" s="7" t="n">
        <v>3</v>
      </c>
      <c r="G8" s="6" t="n">
        <v>13.36</v>
      </c>
      <c r="H8" s="6" t="n">
        <v>5</v>
      </c>
      <c r="I8" s="6" t="n">
        <v>40.08</v>
      </c>
      <c r="J8" s="6" t="n">
        <v>35.08</v>
      </c>
    </row>
    <row collapsed="false" customFormat="false" customHeight="false" hidden="false" ht="12.1" outlineLevel="0" r="9">
      <c r="A9" s="39" t="n">
        <v>45315</v>
      </c>
      <c r="B9" s="2" t="s">
        <v>803</v>
      </c>
      <c r="C9" s="2" t="s">
        <v>209</v>
      </c>
      <c r="D9" s="2" t="s">
        <v>210</v>
      </c>
      <c r="E9" s="6" t="n">
        <v>1000</v>
      </c>
      <c r="F9" s="7" t="n">
        <v>2</v>
      </c>
      <c r="G9" s="6" t="n">
        <v>44.88</v>
      </c>
      <c r="H9" s="6" t="n">
        <v>12</v>
      </c>
      <c r="I9" s="6" t="n">
        <v>89.76</v>
      </c>
      <c r="J9" s="6" t="n">
        <v>77.76</v>
      </c>
    </row>
    <row collapsed="false" customFormat="false" customHeight="false" hidden="false" ht="12.1" outlineLevel="0" r="10">
      <c r="A10" s="39" t="n">
        <v>45319</v>
      </c>
      <c r="B10" s="2" t="s">
        <v>803</v>
      </c>
      <c r="C10" s="2" t="s">
        <v>155</v>
      </c>
      <c r="D10" s="2" t="s">
        <v>156</v>
      </c>
      <c r="E10" s="6" t="n">
        <v>1000</v>
      </c>
      <c r="F10" s="7" t="n">
        <v>3</v>
      </c>
      <c r="G10" s="6" t="n">
        <v>11.18</v>
      </c>
      <c r="H10" s="6" t="n">
        <v>4</v>
      </c>
      <c r="I10" s="6" t="n">
        <v>33.54</v>
      </c>
      <c r="J10" s="6" t="n">
        <v>29.54</v>
      </c>
    </row>
    <row collapsed="false" customFormat="false" customHeight="false" hidden="false" ht="12.1" outlineLevel="0" r="11">
      <c r="A11" s="39" t="n">
        <v>45326</v>
      </c>
      <c r="B11" s="2" t="s">
        <v>803</v>
      </c>
      <c r="C11" s="2" t="s">
        <v>188</v>
      </c>
      <c r="D11" s="2" t="s">
        <v>189</v>
      </c>
      <c r="E11" s="6" t="n">
        <v>1000</v>
      </c>
      <c r="F11" s="7" t="n">
        <v>1</v>
      </c>
      <c r="G11" s="6" t="n">
        <v>11.26</v>
      </c>
      <c r="H11" s="6" t="n">
        <v>1</v>
      </c>
      <c r="I11" s="6" t="n">
        <v>11.26</v>
      </c>
      <c r="J11" s="6" t="n">
        <v>10.26</v>
      </c>
    </row>
    <row collapsed="false" customFormat="false" customHeight="false" hidden="false" ht="12.1" outlineLevel="0" r="12">
      <c r="A12" s="39" t="n">
        <v>45331</v>
      </c>
      <c r="B12" s="2" t="s">
        <v>803</v>
      </c>
      <c r="C12" s="2" t="s">
        <v>545</v>
      </c>
      <c r="D12" s="2" t="s">
        <v>810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9" t="n">
        <v>45334</v>
      </c>
      <c r="B13" s="2" t="s">
        <v>803</v>
      </c>
      <c r="C13" s="2" t="s">
        <v>541</v>
      </c>
      <c r="D13" s="2" t="s">
        <v>809</v>
      </c>
      <c r="E13" s="6" t="n">
        <v>1000</v>
      </c>
      <c r="F13" s="7" t="n">
        <v>3</v>
      </c>
      <c r="G13" s="6" t="n">
        <v>13.36</v>
      </c>
      <c r="H13" s="6" t="n">
        <v>5</v>
      </c>
      <c r="I13" s="6" t="n">
        <v>40.08</v>
      </c>
      <c r="J13" s="6" t="n">
        <v>35.08</v>
      </c>
    </row>
    <row collapsed="false" customFormat="false" customHeight="false" hidden="false" ht="12.1" outlineLevel="0" r="14">
      <c r="A14" s="39" t="n">
        <v>45335</v>
      </c>
      <c r="B14" s="2" t="s">
        <v>803</v>
      </c>
      <c r="C14" s="2" t="s">
        <v>194</v>
      </c>
      <c r="D14" s="2" t="s">
        <v>195</v>
      </c>
      <c r="E14" s="6" t="n">
        <v>1000</v>
      </c>
      <c r="F14" s="7" t="n">
        <v>5</v>
      </c>
      <c r="G14" s="6" t="n">
        <v>13.15</v>
      </c>
      <c r="H14" s="6" t="n">
        <v>9</v>
      </c>
      <c r="I14" s="6" t="n">
        <v>65.75</v>
      </c>
      <c r="J14" s="6" t="n">
        <v>56.75</v>
      </c>
    </row>
    <row collapsed="false" customFormat="false" customHeight="false" hidden="false" ht="12.1" outlineLevel="0" r="15">
      <c r="A15" s="39" t="n">
        <v>45336</v>
      </c>
      <c r="B15" s="2" t="s">
        <v>803</v>
      </c>
      <c r="C15" s="2" t="s">
        <v>215</v>
      </c>
      <c r="D15" s="2" t="s">
        <v>216</v>
      </c>
      <c r="E15" s="6" t="n">
        <v>1000</v>
      </c>
      <c r="F15" s="7" t="n">
        <v>5</v>
      </c>
      <c r="G15" s="6" t="n">
        <v>39.89</v>
      </c>
      <c r="H15" s="6" t="n">
        <v>26</v>
      </c>
      <c r="I15" s="6" t="n">
        <v>199.45</v>
      </c>
      <c r="J15" s="6" t="n">
        <v>173.45</v>
      </c>
    </row>
    <row collapsed="false" customFormat="false" customHeight="false" hidden="false" ht="12.1" outlineLevel="0" r="16">
      <c r="A16" s="39" t="n">
        <v>45337</v>
      </c>
      <c r="B16" s="2" t="s">
        <v>803</v>
      </c>
      <c r="C16" s="2" t="s">
        <v>227</v>
      </c>
      <c r="D16" s="2" t="s">
        <v>228</v>
      </c>
      <c r="E16" s="6" t="n">
        <v>1000</v>
      </c>
      <c r="F16" s="7" t="n">
        <v>2</v>
      </c>
      <c r="G16" s="6" t="n">
        <v>66.32</v>
      </c>
      <c r="H16" s="6" t="n">
        <v>17</v>
      </c>
      <c r="I16" s="6" t="n">
        <v>132.64</v>
      </c>
      <c r="J16" s="6" t="n">
        <v>115.64</v>
      </c>
    </row>
    <row collapsed="false" customFormat="false" customHeight="false" hidden="false" ht="12.1" outlineLevel="0" r="17">
      <c r="A17" s="39" t="n">
        <v>45341</v>
      </c>
      <c r="B17" s="2" t="s">
        <v>803</v>
      </c>
      <c r="C17" s="2" t="s">
        <v>544</v>
      </c>
      <c r="D17" s="2" t="s">
        <v>811</v>
      </c>
      <c r="E17" s="6" t="n">
        <v>1000</v>
      </c>
      <c r="F17" s="7" t="n">
        <v>2</v>
      </c>
      <c r="G17" s="6" t="n">
        <v>47.37</v>
      </c>
      <c r="H17" s="6" t="n">
        <v>12</v>
      </c>
      <c r="I17" s="6" t="n">
        <v>94.74</v>
      </c>
      <c r="J17" s="6" t="n">
        <v>82.74</v>
      </c>
    </row>
    <row collapsed="false" customFormat="false" customHeight="false" hidden="false" ht="12.1" outlineLevel="0" r="18">
      <c r="A18" s="39" t="n">
        <v>45342</v>
      </c>
      <c r="B18" s="2" t="s">
        <v>803</v>
      </c>
      <c r="C18" s="2" t="s">
        <v>203</v>
      </c>
      <c r="D18" s="2" t="s">
        <v>204</v>
      </c>
      <c r="E18" s="6" t="n">
        <v>1000</v>
      </c>
      <c r="F18" s="7" t="n">
        <v>4</v>
      </c>
      <c r="G18" s="6" t="n">
        <v>34.16</v>
      </c>
      <c r="H18" s="6" t="n">
        <v>18</v>
      </c>
      <c r="I18" s="6" t="n">
        <v>136.64</v>
      </c>
      <c r="J18" s="6" t="n">
        <v>118.64</v>
      </c>
    </row>
    <row collapsed="false" customFormat="false" customHeight="false" hidden="false" ht="12.1" outlineLevel="0" r="19">
      <c r="A19" s="39" t="n">
        <v>45347</v>
      </c>
      <c r="B19" s="2" t="s">
        <v>803</v>
      </c>
      <c r="C19" s="2" t="s">
        <v>197</v>
      </c>
      <c r="D19" s="2" t="s">
        <v>198</v>
      </c>
      <c r="E19" s="6" t="n">
        <v>1000</v>
      </c>
      <c r="F19" s="7" t="n">
        <v>5</v>
      </c>
      <c r="G19" s="6" t="n">
        <v>18.32</v>
      </c>
      <c r="H19" s="6" t="n">
        <v>12</v>
      </c>
      <c r="I19" s="6" t="n">
        <v>91.6</v>
      </c>
      <c r="J19" s="6" t="n">
        <v>79.6</v>
      </c>
    </row>
    <row collapsed="false" customFormat="false" customHeight="false" hidden="false" ht="12.1" outlineLevel="0" r="20">
      <c r="A20" s="39" t="n">
        <v>45349</v>
      </c>
      <c r="B20" s="2" t="s">
        <v>803</v>
      </c>
      <c r="C20" s="2" t="s">
        <v>155</v>
      </c>
      <c r="D20" s="2" t="s">
        <v>156</v>
      </c>
      <c r="E20" s="6" t="n">
        <v>1000</v>
      </c>
      <c r="F20" s="7" t="n">
        <v>3</v>
      </c>
      <c r="G20" s="6" t="n">
        <v>11.18</v>
      </c>
      <c r="H20" s="6" t="n">
        <v>4</v>
      </c>
      <c r="I20" s="6" t="n">
        <v>33.54</v>
      </c>
      <c r="J20" s="6" t="n">
        <v>29.54</v>
      </c>
    </row>
    <row collapsed="false" customFormat="false" customHeight="false" hidden="false" ht="12.1" outlineLevel="0" r="21">
      <c r="A21" s="39" t="n">
        <v>45351</v>
      </c>
      <c r="B21" s="2" t="s">
        <v>803</v>
      </c>
      <c r="C21" s="2" t="s">
        <v>218</v>
      </c>
      <c r="D21" s="2" t="s">
        <v>219</v>
      </c>
      <c r="E21" s="6" t="n">
        <v>1000</v>
      </c>
      <c r="F21" s="7" t="n">
        <v>3</v>
      </c>
      <c r="G21" s="6" t="n">
        <v>24.81</v>
      </c>
      <c r="H21" s="6" t="n">
        <v>10</v>
      </c>
      <c r="I21" s="6" t="n">
        <v>74.43</v>
      </c>
      <c r="J21" s="6" t="n">
        <v>64.43</v>
      </c>
    </row>
    <row collapsed="false" customFormat="false" customHeight="false" hidden="false" ht="12.1" outlineLevel="0" r="22">
      <c r="A22" s="39" t="n">
        <v>45351</v>
      </c>
      <c r="B22" s="2" t="s">
        <v>803</v>
      </c>
      <c r="C22" s="2" t="s">
        <v>221</v>
      </c>
      <c r="D22" s="2" t="s">
        <v>222</v>
      </c>
      <c r="E22" s="6" t="n">
        <v>1000</v>
      </c>
      <c r="F22" s="7" t="n">
        <v>7</v>
      </c>
      <c r="G22" s="6" t="n">
        <v>6.36</v>
      </c>
      <c r="H22" s="6" t="n">
        <v>6</v>
      </c>
      <c r="I22" s="6" t="n">
        <v>44.52</v>
      </c>
      <c r="J22" s="6" t="n">
        <v>38.52</v>
      </c>
    </row>
    <row collapsed="false" customFormat="false" customHeight="false" hidden="false" ht="12.1" outlineLevel="0" r="23">
      <c r="A23" s="39" t="n">
        <v>45356</v>
      </c>
      <c r="B23" s="2" t="s">
        <v>803</v>
      </c>
      <c r="C23" s="2" t="s">
        <v>206</v>
      </c>
      <c r="D23" s="2" t="s">
        <v>207</v>
      </c>
      <c r="E23" s="6" t="n">
        <v>1000</v>
      </c>
      <c r="F23" s="7" t="n">
        <v>5</v>
      </c>
      <c r="G23" s="6" t="n">
        <v>46.12</v>
      </c>
      <c r="H23" s="6" t="n">
        <v>30</v>
      </c>
      <c r="I23" s="6" t="n">
        <v>230.6</v>
      </c>
      <c r="J23" s="6" t="n">
        <v>200.6</v>
      </c>
    </row>
    <row collapsed="false" customFormat="false" customHeight="false" hidden="false" ht="12.1" outlineLevel="0" r="24">
      <c r="A24" s="39" t="n">
        <v>45356</v>
      </c>
      <c r="B24" s="2" t="s">
        <v>803</v>
      </c>
      <c r="C24" s="2" t="s">
        <v>188</v>
      </c>
      <c r="D24" s="2" t="s">
        <v>189</v>
      </c>
      <c r="E24" s="6" t="n">
        <v>1000</v>
      </c>
      <c r="F24" s="7" t="n">
        <v>1</v>
      </c>
      <c r="G24" s="6" t="n">
        <v>11.26</v>
      </c>
      <c r="H24" s="6" t="n">
        <v>1</v>
      </c>
      <c r="I24" s="6" t="n">
        <v>11.26</v>
      </c>
      <c r="J24" s="6" t="n">
        <v>10.26</v>
      </c>
    </row>
    <row collapsed="false" customFormat="false" customHeight="false" hidden="false" ht="12.1" outlineLevel="0" r="25">
      <c r="A25" s="39" t="n">
        <v>45361</v>
      </c>
      <c r="B25" s="2" t="s">
        <v>803</v>
      </c>
      <c r="C25" s="2" t="s">
        <v>545</v>
      </c>
      <c r="D25" s="2" t="s">
        <v>810</v>
      </c>
      <c r="E25" s="6" t="n">
        <v>1000</v>
      </c>
      <c r="F25" s="7" t="n">
        <v>2</v>
      </c>
      <c r="G25" s="6" t="n">
        <v>10.68</v>
      </c>
      <c r="H25" s="6" t="n">
        <v>3</v>
      </c>
      <c r="I25" s="6" t="n">
        <v>21.36</v>
      </c>
      <c r="J25" s="6" t="n">
        <v>18.36</v>
      </c>
    </row>
    <row collapsed="false" customFormat="false" customHeight="false" hidden="false" ht="12.1" outlineLevel="0" r="26">
      <c r="A26" s="39" t="n">
        <v>45363</v>
      </c>
      <c r="B26" s="2" t="s">
        <v>803</v>
      </c>
      <c r="C26" s="2" t="s">
        <v>543</v>
      </c>
      <c r="D26" s="2" t="s">
        <v>812</v>
      </c>
      <c r="E26" s="6" t="n">
        <v>1000</v>
      </c>
      <c r="F26" s="7" t="n">
        <v>3</v>
      </c>
      <c r="G26" s="6" t="n">
        <v>39.36</v>
      </c>
      <c r="H26" s="6" t="n">
        <v>15</v>
      </c>
      <c r="I26" s="6" t="n">
        <v>118.08</v>
      </c>
      <c r="J26" s="6" t="n">
        <v>103.08</v>
      </c>
    </row>
    <row collapsed="false" customFormat="false" customHeight="false" hidden="false" ht="12.1" outlineLevel="0" r="27">
      <c r="A27" s="39" t="n">
        <v>45363</v>
      </c>
      <c r="B27" s="2" t="s">
        <v>803</v>
      </c>
      <c r="C27" s="2" t="s">
        <v>242</v>
      </c>
      <c r="D27" s="2" t="s">
        <v>243</v>
      </c>
      <c r="E27" s="6" t="n">
        <v>686.6700000000001</v>
      </c>
      <c r="F27" s="7" t="n">
        <v>1</v>
      </c>
      <c r="G27" s="6" t="n">
        <v>28.25</v>
      </c>
      <c r="H27" s="6" t="n">
        <v>4</v>
      </c>
      <c r="I27" s="6" t="n">
        <v>28.25</v>
      </c>
      <c r="J27" s="6" t="n">
        <v>24.25</v>
      </c>
    </row>
    <row collapsed="false" customFormat="false" customHeight="false" hidden="false" ht="12.1" outlineLevel="0" r="28">
      <c r="A28" s="39" t="n">
        <v>45364</v>
      </c>
      <c r="B28" s="2" t="s">
        <v>803</v>
      </c>
      <c r="C28" s="2" t="s">
        <v>541</v>
      </c>
      <c r="D28" s="2" t="s">
        <v>809</v>
      </c>
      <c r="E28" s="6" t="n">
        <v>1000</v>
      </c>
      <c r="F28" s="7" t="n">
        <v>3</v>
      </c>
      <c r="G28" s="6" t="n">
        <v>13.36</v>
      </c>
      <c r="H28" s="6" t="n">
        <v>5</v>
      </c>
      <c r="I28" s="6" t="n">
        <v>40.08</v>
      </c>
      <c r="J28" s="6" t="n">
        <v>35.08</v>
      </c>
    </row>
    <row collapsed="false" customFormat="false" customHeight="false" hidden="false" ht="12.1" outlineLevel="0" r="29">
      <c r="A29" s="39" t="n">
        <v>45365</v>
      </c>
      <c r="B29" s="2" t="s">
        <v>803</v>
      </c>
      <c r="C29" s="2" t="s">
        <v>194</v>
      </c>
      <c r="D29" s="2" t="s">
        <v>195</v>
      </c>
      <c r="E29" s="6" t="n">
        <v>1000</v>
      </c>
      <c r="F29" s="7" t="n">
        <v>5</v>
      </c>
      <c r="G29" s="6" t="n">
        <v>13.15</v>
      </c>
      <c r="H29" s="6" t="n">
        <v>9</v>
      </c>
      <c r="I29" s="6" t="n">
        <v>65.75</v>
      </c>
      <c r="J29" s="6" t="n">
        <v>56.75</v>
      </c>
    </row>
    <row collapsed="false" customFormat="false" customHeight="false" hidden="false" ht="12.1" outlineLevel="0" r="30">
      <c r="A30" s="39" t="n">
        <v>45370</v>
      </c>
      <c r="B30" s="2" t="s">
        <v>803</v>
      </c>
      <c r="C30" s="2" t="s">
        <v>158</v>
      </c>
      <c r="D30" s="2" t="s">
        <v>159</v>
      </c>
      <c r="E30" s="6" t="n">
        <v>1000</v>
      </c>
      <c r="F30" s="7" t="n">
        <v>15</v>
      </c>
      <c r="G30" s="6" t="n">
        <v>33.41</v>
      </c>
      <c r="H30" s="6" t="n">
        <v>65</v>
      </c>
      <c r="I30" s="6" t="n">
        <v>501.15</v>
      </c>
      <c r="J30" s="6" t="n">
        <v>436.15</v>
      </c>
    </row>
    <row collapsed="false" customFormat="false" customHeight="false" hidden="false" ht="12.1" outlineLevel="0" r="31">
      <c r="A31" s="39" t="n">
        <v>45370</v>
      </c>
      <c r="B31" s="2" t="s">
        <v>803</v>
      </c>
      <c r="C31" s="2" t="s">
        <v>176</v>
      </c>
      <c r="D31" s="2" t="s">
        <v>177</v>
      </c>
      <c r="E31" s="6" t="n">
        <v>1000</v>
      </c>
      <c r="F31" s="7" t="n">
        <v>15</v>
      </c>
      <c r="G31" s="6" t="n">
        <v>38.64</v>
      </c>
      <c r="H31" s="6" t="n">
        <v>75</v>
      </c>
      <c r="I31" s="6" t="n">
        <v>579.6</v>
      </c>
      <c r="J31" s="6" t="n">
        <v>504.6</v>
      </c>
    </row>
    <row collapsed="false" customFormat="false" customHeight="false" hidden="false" ht="12.1" outlineLevel="0" r="32">
      <c r="A32" s="39" t="n">
        <v>45376</v>
      </c>
      <c r="B32" s="2" t="s">
        <v>803</v>
      </c>
      <c r="C32" s="2" t="s">
        <v>224</v>
      </c>
      <c r="D32" s="2" t="s">
        <v>225</v>
      </c>
      <c r="E32" s="6" t="n">
        <v>1000</v>
      </c>
      <c r="F32" s="7" t="n">
        <v>2</v>
      </c>
      <c r="G32" s="6" t="n">
        <v>31.66</v>
      </c>
      <c r="H32" s="6" t="n">
        <v>8</v>
      </c>
      <c r="I32" s="6" t="n">
        <v>63.32</v>
      </c>
      <c r="J32" s="6" t="n">
        <v>55.32</v>
      </c>
    </row>
    <row collapsed="false" customFormat="false" customHeight="false" hidden="false" ht="12.1" outlineLevel="0" r="33">
      <c r="A33" s="39" t="n">
        <v>45377</v>
      </c>
      <c r="B33" s="2" t="s">
        <v>803</v>
      </c>
      <c r="C33" s="2" t="s">
        <v>146</v>
      </c>
      <c r="D33" s="2" t="s">
        <v>147</v>
      </c>
      <c r="E33" s="6" t="n">
        <v>1000</v>
      </c>
      <c r="F33" s="7" t="n">
        <v>10</v>
      </c>
      <c r="G33" s="6" t="n">
        <v>47.47</v>
      </c>
      <c r="H33" s="6" t="n">
        <v>62</v>
      </c>
      <c r="I33" s="6" t="n">
        <v>474.7</v>
      </c>
      <c r="J33" s="6" t="n">
        <v>412.7</v>
      </c>
    </row>
    <row collapsed="false" customFormat="false" customHeight="false" hidden="false" ht="12.1" outlineLevel="0" r="34">
      <c r="A34" s="39" t="n">
        <v>45377</v>
      </c>
      <c r="B34" s="2" t="s">
        <v>803</v>
      </c>
      <c r="C34" s="2" t="s">
        <v>239</v>
      </c>
      <c r="D34" s="2" t="s">
        <v>240</v>
      </c>
      <c r="E34" s="6" t="n">
        <v>1000</v>
      </c>
      <c r="F34" s="7" t="n">
        <v>2</v>
      </c>
      <c r="G34" s="6" t="n">
        <v>54.35</v>
      </c>
      <c r="H34" s="6" t="n">
        <v>14</v>
      </c>
      <c r="I34" s="6" t="n">
        <v>108.7</v>
      </c>
      <c r="J34" s="6" t="n">
        <v>94.7</v>
      </c>
    </row>
    <row collapsed="false" customFormat="false" customHeight="false" hidden="false" ht="12.1" outlineLevel="0" r="35">
      <c r="A35" s="39" t="n">
        <v>45379</v>
      </c>
      <c r="B35" s="2" t="s">
        <v>803</v>
      </c>
      <c r="C35" s="2" t="s">
        <v>155</v>
      </c>
      <c r="D35" s="2" t="s">
        <v>156</v>
      </c>
      <c r="E35" s="6" t="n">
        <v>1000</v>
      </c>
      <c r="F35" s="7" t="n">
        <v>3</v>
      </c>
      <c r="G35" s="6" t="n">
        <v>11.18</v>
      </c>
      <c r="H35" s="6" t="n">
        <v>4</v>
      </c>
      <c r="I35" s="6" t="n">
        <v>33.54</v>
      </c>
      <c r="J35" s="6" t="n">
        <v>29.54</v>
      </c>
    </row>
    <row collapsed="false" customFormat="false" customHeight="false" hidden="false" ht="12.1" outlineLevel="0" r="36">
      <c r="A36" s="39" t="n">
        <v>45382</v>
      </c>
      <c r="B36" s="2" t="s">
        <v>803</v>
      </c>
      <c r="C36" s="2" t="s">
        <v>221</v>
      </c>
      <c r="D36" s="2" t="s">
        <v>222</v>
      </c>
      <c r="E36" s="6" t="n">
        <v>1000</v>
      </c>
      <c r="F36" s="7" t="n">
        <v>7</v>
      </c>
      <c r="G36" s="6" t="n">
        <v>6.79</v>
      </c>
      <c r="H36" s="6" t="n">
        <v>6</v>
      </c>
      <c r="I36" s="6" t="n">
        <v>47.53</v>
      </c>
      <c r="J36" s="6" t="n">
        <v>41.53</v>
      </c>
    </row>
    <row collapsed="false" customFormat="false" customHeight="false" hidden="false" ht="12.1" outlineLevel="0" r="37">
      <c r="A37" s="39" t="n">
        <v>45384</v>
      </c>
      <c r="B37" s="2" t="s">
        <v>803</v>
      </c>
      <c r="C37" s="2" t="s">
        <v>149</v>
      </c>
      <c r="D37" s="2" t="s">
        <v>150</v>
      </c>
      <c r="E37" s="6" t="n">
        <v>1000</v>
      </c>
      <c r="F37" s="7" t="n">
        <v>10</v>
      </c>
      <c r="G37" s="6" t="n">
        <v>38.39</v>
      </c>
      <c r="H37" s="6" t="n">
        <v>50</v>
      </c>
      <c r="I37" s="6" t="n">
        <v>383.9</v>
      </c>
      <c r="J37" s="6" t="n">
        <v>333.9</v>
      </c>
    </row>
    <row collapsed="false" customFormat="false" customHeight="false" hidden="false" ht="12.1" outlineLevel="0" r="38">
      <c r="A38" s="39" t="n">
        <v>45385</v>
      </c>
      <c r="B38" s="2" t="s">
        <v>803</v>
      </c>
      <c r="C38" s="2" t="s">
        <v>212</v>
      </c>
      <c r="D38" s="2" t="s">
        <v>213</v>
      </c>
      <c r="E38" s="6" t="n">
        <v>1000</v>
      </c>
      <c r="F38" s="7" t="n">
        <v>4</v>
      </c>
      <c r="G38" s="6" t="n">
        <v>29.42</v>
      </c>
      <c r="H38" s="6" t="n">
        <v>15</v>
      </c>
      <c r="I38" s="6" t="n">
        <v>117.68</v>
      </c>
      <c r="J38" s="6" t="n">
        <v>102.68</v>
      </c>
    </row>
    <row collapsed="false" customFormat="false" customHeight="false" hidden="false" ht="12.1" outlineLevel="0" r="39">
      <c r="A39" s="39" t="n">
        <v>45386</v>
      </c>
      <c r="B39" s="2" t="s">
        <v>803</v>
      </c>
      <c r="C39" s="2" t="s">
        <v>188</v>
      </c>
      <c r="D39" s="2" t="s">
        <v>189</v>
      </c>
      <c r="E39" s="6" t="n">
        <v>1000</v>
      </c>
      <c r="F39" s="7" t="n">
        <v>1</v>
      </c>
      <c r="G39" s="6" t="n">
        <v>11.26</v>
      </c>
      <c r="H39" s="6" t="n">
        <v>1</v>
      </c>
      <c r="I39" s="6" t="n">
        <v>11.26</v>
      </c>
      <c r="J39" s="6" t="n">
        <v>10.26</v>
      </c>
    </row>
    <row collapsed="false" customFormat="false" customHeight="false" hidden="false" ht="12.1" outlineLevel="0" r="40">
      <c r="A40" s="39" t="n">
        <v>45390</v>
      </c>
      <c r="B40" s="2" t="s">
        <v>803</v>
      </c>
      <c r="C40" s="2" t="s">
        <v>542</v>
      </c>
      <c r="D40" s="2" t="s">
        <v>808</v>
      </c>
      <c r="E40" s="6" t="n">
        <v>1000</v>
      </c>
      <c r="F40" s="7" t="n">
        <v>2</v>
      </c>
      <c r="G40" s="6" t="n">
        <v>44.88</v>
      </c>
      <c r="H40" s="6" t="n">
        <v>12</v>
      </c>
      <c r="I40" s="6" t="n">
        <v>89.76</v>
      </c>
      <c r="J40" s="6" t="n">
        <v>77.76</v>
      </c>
    </row>
    <row collapsed="false" customFormat="false" customHeight="false" hidden="false" ht="12.1" outlineLevel="0" r="41">
      <c r="A41" s="39" t="n">
        <v>45391</v>
      </c>
      <c r="B41" s="2" t="s">
        <v>803</v>
      </c>
      <c r="C41" s="2" t="s">
        <v>545</v>
      </c>
      <c r="D41" s="2" t="s">
        <v>810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9" t="n">
        <v>45394</v>
      </c>
      <c r="B42" s="2" t="s">
        <v>803</v>
      </c>
      <c r="C42" s="2" t="s">
        <v>541</v>
      </c>
      <c r="D42" s="2" t="s">
        <v>809</v>
      </c>
      <c r="E42" s="6" t="n">
        <v>1000</v>
      </c>
      <c r="F42" s="7" t="n">
        <v>3</v>
      </c>
      <c r="G42" s="6" t="n">
        <v>13.36</v>
      </c>
      <c r="H42" s="6" t="n">
        <v>5</v>
      </c>
      <c r="I42" s="6" t="n">
        <v>40.08</v>
      </c>
      <c r="J42" s="6" t="n">
        <v>35.08</v>
      </c>
    </row>
    <row collapsed="false" customFormat="false" customHeight="false" hidden="false" ht="12.1" outlineLevel="0" r="43">
      <c r="A43" s="39" t="n">
        <v>45395</v>
      </c>
      <c r="B43" s="2" t="s">
        <v>803</v>
      </c>
      <c r="C43" s="2" t="s">
        <v>194</v>
      </c>
      <c r="D43" s="2" t="s">
        <v>195</v>
      </c>
      <c r="E43" s="6" t="n">
        <v>1000</v>
      </c>
      <c r="F43" s="7" t="n">
        <v>10</v>
      </c>
      <c r="G43" s="6" t="n">
        <v>13.15</v>
      </c>
      <c r="H43" s="6" t="n">
        <v>17</v>
      </c>
      <c r="I43" s="6" t="n">
        <v>131.5</v>
      </c>
      <c r="J43" s="6" t="n">
        <v>114.5</v>
      </c>
    </row>
    <row collapsed="false" customFormat="false" customHeight="false" hidden="false" ht="12.1" outlineLevel="0" r="44">
      <c r="A44" s="39" t="n">
        <v>45406</v>
      </c>
      <c r="B44" s="2" t="s">
        <v>803</v>
      </c>
      <c r="C44" s="2" t="s">
        <v>209</v>
      </c>
      <c r="D44" s="2" t="s">
        <v>210</v>
      </c>
      <c r="E44" s="6" t="n">
        <v>1000</v>
      </c>
      <c r="F44" s="7" t="n">
        <v>2</v>
      </c>
      <c r="G44" s="6" t="n">
        <v>44.88</v>
      </c>
      <c r="H44" s="6" t="n">
        <v>12</v>
      </c>
      <c r="I44" s="6" t="n">
        <v>89.76</v>
      </c>
      <c r="J44" s="6" t="n">
        <v>77.76</v>
      </c>
    </row>
    <row collapsed="false" customFormat="false" customHeight="false" hidden="false" ht="12.1" outlineLevel="0" r="45">
      <c r="A45" s="39" t="n">
        <v>45406</v>
      </c>
      <c r="B45" s="2" t="s">
        <v>803</v>
      </c>
      <c r="C45" s="2" t="s">
        <v>182</v>
      </c>
      <c r="D45" s="2" t="s">
        <v>183</v>
      </c>
      <c r="E45" s="6" t="n">
        <v>1000</v>
      </c>
      <c r="F45" s="7" t="n">
        <v>7</v>
      </c>
      <c r="G45" s="6" t="n">
        <v>16.83</v>
      </c>
      <c r="H45" s="6" t="n">
        <v>15</v>
      </c>
      <c r="I45" s="6" t="n">
        <v>117.81</v>
      </c>
      <c r="J45" s="6" t="n">
        <v>102.81</v>
      </c>
    </row>
    <row collapsed="false" customFormat="false" customHeight="false" hidden="false" ht="12.1" outlineLevel="0" r="46">
      <c r="A46" s="39" t="n">
        <v>45409</v>
      </c>
      <c r="B46" s="2" t="s">
        <v>803</v>
      </c>
      <c r="C46" s="2" t="s">
        <v>155</v>
      </c>
      <c r="D46" s="2" t="s">
        <v>156</v>
      </c>
      <c r="E46" s="6" t="n">
        <v>1000</v>
      </c>
      <c r="F46" s="7" t="n">
        <v>3</v>
      </c>
      <c r="G46" s="6" t="n">
        <v>11.18</v>
      </c>
      <c r="H46" s="6" t="n">
        <v>4</v>
      </c>
      <c r="I46" s="6" t="n">
        <v>33.54</v>
      </c>
      <c r="J46" s="6" t="n">
        <v>29.54</v>
      </c>
    </row>
    <row collapsed="false" customFormat="false" customHeight="false" hidden="false" ht="12.1" outlineLevel="0" r="47">
      <c r="A47" s="39" t="n">
        <v>45412</v>
      </c>
      <c r="B47" s="2" t="s">
        <v>803</v>
      </c>
      <c r="C47" s="2" t="s">
        <v>221</v>
      </c>
      <c r="D47" s="2" t="s">
        <v>222</v>
      </c>
      <c r="E47" s="6" t="n">
        <v>1000</v>
      </c>
      <c r="F47" s="7" t="n">
        <v>7</v>
      </c>
      <c r="G47" s="6" t="n">
        <v>6.58</v>
      </c>
      <c r="H47" s="6" t="n">
        <v>6</v>
      </c>
      <c r="I47" s="6" t="n">
        <v>46.06</v>
      </c>
      <c r="J47" s="6" t="n">
        <v>40.06</v>
      </c>
    </row>
    <row collapsed="false" customFormat="false" customHeight="false" hidden="false" ht="12.1" outlineLevel="0" r="48">
      <c r="A48" s="39" t="n">
        <v>45416</v>
      </c>
      <c r="B48" s="2" t="s">
        <v>803</v>
      </c>
      <c r="C48" s="2" t="s">
        <v>188</v>
      </c>
      <c r="D48" s="2" t="s">
        <v>189</v>
      </c>
      <c r="E48" s="6" t="n">
        <v>1000</v>
      </c>
      <c r="F48" s="7" t="n">
        <v>1</v>
      </c>
      <c r="G48" s="6" t="n">
        <v>11.26</v>
      </c>
      <c r="H48" s="6" t="n">
        <v>1</v>
      </c>
      <c r="I48" s="6" t="n">
        <v>11.26</v>
      </c>
      <c r="J48" s="6" t="n">
        <v>10.26</v>
      </c>
    </row>
    <row collapsed="false" customFormat="false" customHeight="false" hidden="false" ht="12.1" outlineLevel="0" r="49">
      <c r="A49" s="39" t="n">
        <v>45421</v>
      </c>
      <c r="B49" s="2" t="s">
        <v>803</v>
      </c>
      <c r="C49" s="2" t="s">
        <v>545</v>
      </c>
      <c r="D49" s="2" t="s">
        <v>810</v>
      </c>
      <c r="E49" s="6" t="n">
        <v>1000</v>
      </c>
      <c r="F49" s="7" t="n">
        <v>2</v>
      </c>
      <c r="G49" s="6" t="n">
        <v>10.68</v>
      </c>
      <c r="H49" s="6" t="n">
        <v>3</v>
      </c>
      <c r="I49" s="6" t="n">
        <v>21.36</v>
      </c>
      <c r="J49" s="6" t="n">
        <v>18.36</v>
      </c>
    </row>
    <row collapsed="false" customFormat="false" customHeight="false" hidden="false" ht="12.1" outlineLevel="0" r="50">
      <c r="A50" s="39" t="n">
        <v>45424</v>
      </c>
      <c r="B50" s="2" t="s">
        <v>803</v>
      </c>
      <c r="C50" s="2" t="s">
        <v>541</v>
      </c>
      <c r="D50" s="2" t="s">
        <v>809</v>
      </c>
      <c r="E50" s="6" t="n">
        <v>1000</v>
      </c>
      <c r="F50" s="7" t="n">
        <v>3</v>
      </c>
      <c r="G50" s="6" t="n">
        <v>13.36</v>
      </c>
      <c r="H50" s="6" t="n">
        <v>5</v>
      </c>
      <c r="I50" s="6" t="n">
        <v>40.08</v>
      </c>
      <c r="J50" s="6" t="n">
        <v>35.08</v>
      </c>
    </row>
    <row collapsed="false" customFormat="false" customHeight="false" hidden="false" ht="12.1" outlineLevel="0" r="51">
      <c r="A51" s="39" t="n">
        <v>45425</v>
      </c>
      <c r="B51" s="2" t="s">
        <v>803</v>
      </c>
      <c r="C51" s="2" t="s">
        <v>194</v>
      </c>
      <c r="D51" s="2" t="s">
        <v>195</v>
      </c>
      <c r="E51" s="6" t="n">
        <v>1000</v>
      </c>
      <c r="F51" s="7" t="n">
        <v>10</v>
      </c>
      <c r="G51" s="6" t="n">
        <v>13.15</v>
      </c>
      <c r="H51" s="6" t="n">
        <v>17</v>
      </c>
      <c r="I51" s="6" t="n">
        <v>131.5</v>
      </c>
      <c r="J51" s="6" t="n">
        <v>114.5</v>
      </c>
    </row>
    <row collapsed="false" customFormat="false" customHeight="false" hidden="false" ht="12.1" outlineLevel="0" r="52">
      <c r="A52" s="39" t="n">
        <v>45426</v>
      </c>
      <c r="B52" s="2" t="s">
        <v>803</v>
      </c>
      <c r="C52" s="2" t="s">
        <v>179</v>
      </c>
      <c r="D52" s="2" t="s">
        <v>180</v>
      </c>
      <c r="E52" s="6" t="n">
        <v>1000</v>
      </c>
      <c r="F52" s="7" t="n">
        <v>10</v>
      </c>
      <c r="G52" s="6" t="n">
        <v>35.65</v>
      </c>
      <c r="H52" s="6" t="n">
        <v>46</v>
      </c>
      <c r="I52" s="6" t="n">
        <v>356.5</v>
      </c>
      <c r="J52" s="6" t="n">
        <v>310.5</v>
      </c>
    </row>
    <row collapsed="false" customFormat="false" customHeight="false" hidden="false" ht="12.1" outlineLevel="0" r="53">
      <c r="A53" s="39" t="n">
        <v>45427</v>
      </c>
      <c r="B53" s="2" t="s">
        <v>803</v>
      </c>
      <c r="C53" s="2" t="s">
        <v>215</v>
      </c>
      <c r="D53" s="2" t="s">
        <v>216</v>
      </c>
      <c r="E53" s="6" t="n">
        <v>1000</v>
      </c>
      <c r="F53" s="7" t="n">
        <v>5</v>
      </c>
      <c r="G53" s="6" t="n">
        <v>39.89</v>
      </c>
      <c r="H53" s="6" t="n">
        <v>26</v>
      </c>
      <c r="I53" s="6" t="n">
        <v>199.45</v>
      </c>
      <c r="J53" s="6" t="n">
        <v>173.45</v>
      </c>
    </row>
    <row collapsed="false" customFormat="false" customHeight="false" hidden="false" ht="12.1" outlineLevel="0" r="54">
      <c r="A54" s="39" t="n">
        <v>45432</v>
      </c>
      <c r="B54" s="2" t="s">
        <v>803</v>
      </c>
      <c r="C54" s="2" t="s">
        <v>544</v>
      </c>
      <c r="D54" s="2" t="s">
        <v>811</v>
      </c>
      <c r="E54" s="6" t="n">
        <v>1000</v>
      </c>
      <c r="F54" s="7" t="n">
        <v>2</v>
      </c>
      <c r="G54" s="6" t="n">
        <v>47.37</v>
      </c>
      <c r="H54" s="6" t="n">
        <v>12</v>
      </c>
      <c r="I54" s="6" t="n">
        <v>94.74</v>
      </c>
      <c r="J54" s="6" t="n">
        <v>82.74</v>
      </c>
    </row>
    <row collapsed="false" customFormat="false" customHeight="false" hidden="false" ht="12.1" outlineLevel="0" r="55">
      <c r="A55" s="39" t="n">
        <v>45432</v>
      </c>
      <c r="B55" s="2" t="s">
        <v>803</v>
      </c>
      <c r="C55" s="2" t="s">
        <v>230</v>
      </c>
      <c r="D55" s="2" t="s">
        <v>231</v>
      </c>
      <c r="E55" s="6" t="n">
        <v>1000</v>
      </c>
      <c r="F55" s="7" t="n">
        <v>2</v>
      </c>
      <c r="G55" s="6" t="n">
        <v>63.14</v>
      </c>
      <c r="H55" s="6" t="n">
        <v>16</v>
      </c>
      <c r="I55" s="6" t="n">
        <v>126.28</v>
      </c>
      <c r="J55" s="6" t="n">
        <v>110.28</v>
      </c>
    </row>
    <row collapsed="false" customFormat="false" customHeight="false" hidden="false" ht="12.1" outlineLevel="0" r="56">
      <c r="A56" s="39" t="n">
        <v>45433</v>
      </c>
      <c r="B56" s="2" t="s">
        <v>803</v>
      </c>
      <c r="C56" s="2" t="s">
        <v>203</v>
      </c>
      <c r="D56" s="2" t="s">
        <v>204</v>
      </c>
      <c r="E56" s="6" t="n">
        <v>1000</v>
      </c>
      <c r="F56" s="7" t="n">
        <v>4</v>
      </c>
      <c r="G56" s="6" t="n">
        <v>34.16</v>
      </c>
      <c r="H56" s="6" t="n">
        <v>18</v>
      </c>
      <c r="I56" s="6" t="n">
        <v>136.64</v>
      </c>
      <c r="J56" s="6" t="n">
        <v>118.64</v>
      </c>
    </row>
    <row collapsed="false" customFormat="false" customHeight="false" hidden="false" ht="12.1" outlineLevel="0" r="57">
      <c r="A57" s="39" t="n">
        <v>45433</v>
      </c>
      <c r="B57" s="2" t="s">
        <v>803</v>
      </c>
      <c r="C57" s="2" t="s">
        <v>170</v>
      </c>
      <c r="D57" s="2" t="s">
        <v>171</v>
      </c>
      <c r="E57" s="6" t="n">
        <v>1000</v>
      </c>
      <c r="F57" s="7" t="n">
        <v>10</v>
      </c>
      <c r="G57" s="6" t="n">
        <v>32.16</v>
      </c>
      <c r="H57" s="6" t="n">
        <v>42</v>
      </c>
      <c r="I57" s="6" t="n">
        <v>321.6</v>
      </c>
      <c r="J57" s="6" t="n">
        <v>279.6</v>
      </c>
    </row>
    <row collapsed="false" customFormat="false" customHeight="false" hidden="false" ht="12.1" outlineLevel="0" r="58">
      <c r="A58" s="39" t="n">
        <v>45438</v>
      </c>
      <c r="B58" s="2" t="s">
        <v>803</v>
      </c>
      <c r="C58" s="2" t="s">
        <v>197</v>
      </c>
      <c r="D58" s="2" t="s">
        <v>198</v>
      </c>
      <c r="E58" s="6" t="n">
        <v>1000</v>
      </c>
      <c r="F58" s="7" t="n">
        <v>5</v>
      </c>
      <c r="G58" s="6" t="n">
        <v>18.32</v>
      </c>
      <c r="H58" s="6" t="n">
        <v>12</v>
      </c>
      <c r="I58" s="6" t="n">
        <v>91.6</v>
      </c>
      <c r="J58" s="6" t="n">
        <v>79.6</v>
      </c>
    </row>
    <row collapsed="false" customFormat="false" customHeight="false" hidden="false" ht="12.1" outlineLevel="0" r="59">
      <c r="A59" s="39" t="n">
        <v>45439</v>
      </c>
      <c r="B59" s="2" t="s">
        <v>803</v>
      </c>
      <c r="C59" s="2" t="s">
        <v>155</v>
      </c>
      <c r="D59" s="2" t="s">
        <v>156</v>
      </c>
      <c r="E59" s="6" t="n">
        <v>1000</v>
      </c>
      <c r="F59" s="7" t="n">
        <v>3</v>
      </c>
      <c r="G59" s="6" t="n">
        <v>11.18</v>
      </c>
      <c r="H59" s="6" t="n">
        <v>4</v>
      </c>
      <c r="I59" s="6" t="n">
        <v>33.54</v>
      </c>
      <c r="J59" s="6" t="n">
        <v>29.54</v>
      </c>
    </row>
    <row collapsed="false" customFormat="false" customHeight="false" hidden="false" ht="12.1" outlineLevel="0" r="60">
      <c r="A60" s="39" t="n">
        <v>45442</v>
      </c>
      <c r="B60" s="2" t="s">
        <v>803</v>
      </c>
      <c r="C60" s="2" t="s">
        <v>218</v>
      </c>
      <c r="D60" s="2" t="s">
        <v>219</v>
      </c>
      <c r="E60" s="6" t="n">
        <v>1000</v>
      </c>
      <c r="F60" s="7" t="n">
        <v>3</v>
      </c>
      <c r="G60" s="6" t="n">
        <v>24.81</v>
      </c>
      <c r="H60" s="6" t="n">
        <v>10</v>
      </c>
      <c r="I60" s="6" t="n">
        <v>74.43</v>
      </c>
      <c r="J60" s="6" t="n">
        <v>64.43</v>
      </c>
    </row>
    <row collapsed="false" customFormat="false" customHeight="false" hidden="false" ht="12.1" outlineLevel="0" r="61">
      <c r="A61" s="39" t="n">
        <v>45443</v>
      </c>
      <c r="B61" s="2" t="s">
        <v>803</v>
      </c>
      <c r="C61" s="2" t="s">
        <v>221</v>
      </c>
      <c r="D61" s="2" t="s">
        <v>222</v>
      </c>
      <c r="E61" s="6" t="n">
        <v>1000</v>
      </c>
      <c r="F61" s="7" t="n">
        <v>7</v>
      </c>
      <c r="G61" s="6" t="n">
        <v>6.79</v>
      </c>
      <c r="H61" s="6" t="n">
        <v>6</v>
      </c>
      <c r="I61" s="6" t="n">
        <v>47.53</v>
      </c>
      <c r="J61" s="6" t="n">
        <v>41.53</v>
      </c>
    </row>
    <row collapsed="false" customFormat="false" customHeight="false" hidden="false" ht="12.1" outlineLevel="0" r="62">
      <c r="A62" s="39" t="n">
        <v>45446</v>
      </c>
      <c r="B62" s="2" t="s">
        <v>803</v>
      </c>
      <c r="C62" s="2" t="s">
        <v>188</v>
      </c>
      <c r="D62" s="2" t="s">
        <v>189</v>
      </c>
      <c r="E62" s="6" t="n">
        <v>1000</v>
      </c>
      <c r="F62" s="7" t="n">
        <v>1</v>
      </c>
      <c r="G62" s="6" t="n">
        <v>11.26</v>
      </c>
      <c r="H62" s="6" t="n">
        <v>1</v>
      </c>
      <c r="I62" s="6" t="n">
        <v>11.26</v>
      </c>
      <c r="J62" s="6" t="n">
        <v>10.26</v>
      </c>
    </row>
    <row collapsed="false" customFormat="false" customHeight="false" hidden="false" ht="12.1" outlineLevel="0" r="63">
      <c r="A63" s="39" t="n">
        <v>45447</v>
      </c>
      <c r="B63" s="2" t="s">
        <v>803</v>
      </c>
      <c r="C63" s="2" t="s">
        <v>136</v>
      </c>
      <c r="D63" s="2" t="s">
        <v>138</v>
      </c>
      <c r="E63" s="6" t="n">
        <v>1000</v>
      </c>
      <c r="F63" s="7" t="n">
        <v>27</v>
      </c>
      <c r="G63" s="6" t="n">
        <v>35.4</v>
      </c>
      <c r="H63" s="6" t="n">
        <v>124</v>
      </c>
      <c r="I63" s="6" t="n">
        <v>955.8</v>
      </c>
      <c r="J63" s="6" t="n">
        <v>831.8</v>
      </c>
    </row>
    <row collapsed="false" customFormat="false" customHeight="false" hidden="false" ht="12.1" outlineLevel="0" r="64">
      <c r="A64" s="39" t="n">
        <v>45451</v>
      </c>
      <c r="B64" s="2" t="s">
        <v>803</v>
      </c>
      <c r="C64" s="2" t="s">
        <v>545</v>
      </c>
      <c r="D64" s="2" t="s">
        <v>810</v>
      </c>
      <c r="E64" s="6" t="n">
        <v>1000</v>
      </c>
      <c r="F64" s="7" t="n">
        <v>2</v>
      </c>
      <c r="G64" s="6" t="n">
        <v>10.68</v>
      </c>
      <c r="H64" s="6" t="n">
        <v>3</v>
      </c>
      <c r="I64" s="6" t="n">
        <v>21.36</v>
      </c>
      <c r="J64" s="6" t="n">
        <v>18.36</v>
      </c>
    </row>
    <row collapsed="false" customFormat="false" customHeight="false" hidden="false" ht="12.1" outlineLevel="0" r="65">
      <c r="A65" s="39" t="n">
        <v>45452</v>
      </c>
      <c r="B65" s="2" t="s">
        <v>803</v>
      </c>
      <c r="C65" s="2" t="s">
        <v>236</v>
      </c>
      <c r="D65" s="2" t="s">
        <v>237</v>
      </c>
      <c r="E65" s="6" t="n">
        <v>1000</v>
      </c>
      <c r="F65" s="7" t="n">
        <v>1</v>
      </c>
      <c r="G65" s="6" t="n">
        <v>30.92</v>
      </c>
      <c r="H65" s="6" t="n">
        <v>4</v>
      </c>
      <c r="I65" s="6" t="n">
        <v>30.92</v>
      </c>
      <c r="J65" s="6" t="n">
        <v>26.92</v>
      </c>
    </row>
    <row collapsed="false" customFormat="false" customHeight="false" hidden="false" ht="12.1" outlineLevel="0" r="66">
      <c r="A66" s="39" t="n">
        <v>45454</v>
      </c>
      <c r="B66" s="2" t="s">
        <v>803</v>
      </c>
      <c r="C66" s="2" t="s">
        <v>242</v>
      </c>
      <c r="D66" s="2" t="s">
        <v>243</v>
      </c>
      <c r="E66" s="6" t="n">
        <v>671.5799999999999</v>
      </c>
      <c r="F66" s="7" t="n">
        <v>1</v>
      </c>
      <c r="G66" s="6" t="n">
        <v>29.3</v>
      </c>
      <c r="H66" s="6" t="n">
        <v>4</v>
      </c>
      <c r="I66" s="6" t="n">
        <v>29.3</v>
      </c>
      <c r="J66" s="6" t="n">
        <v>25.3</v>
      </c>
    </row>
    <row collapsed="false" customFormat="false" customHeight="false" hidden="false" ht="12.1" outlineLevel="0" r="67">
      <c r="A67" s="39" t="n">
        <v>45454</v>
      </c>
      <c r="B67" s="2" t="s">
        <v>803</v>
      </c>
      <c r="C67" s="2" t="s">
        <v>541</v>
      </c>
      <c r="D67" s="2" t="s">
        <v>809</v>
      </c>
      <c r="E67" s="6" t="n">
        <v>1000</v>
      </c>
      <c r="F67" s="7" t="n">
        <v>3</v>
      </c>
      <c r="G67" s="6" t="n">
        <v>13.36</v>
      </c>
      <c r="H67" s="6" t="n">
        <v>5</v>
      </c>
      <c r="I67" s="6" t="n">
        <v>40.08</v>
      </c>
      <c r="J67" s="6" t="n">
        <v>35.08</v>
      </c>
    </row>
    <row collapsed="false" customFormat="false" customHeight="false" hidden="false" ht="12.1" outlineLevel="0" r="68">
      <c r="A68" s="39" t="n">
        <v>45455</v>
      </c>
      <c r="B68" s="2" t="s">
        <v>803</v>
      </c>
      <c r="C68" s="2" t="s">
        <v>194</v>
      </c>
      <c r="D68" s="2" t="s">
        <v>195</v>
      </c>
      <c r="E68" s="6" t="n">
        <v>1000</v>
      </c>
      <c r="F68" s="7" t="n">
        <v>10</v>
      </c>
      <c r="G68" s="6" t="n">
        <v>13.15</v>
      </c>
      <c r="H68" s="6" t="n">
        <v>17</v>
      </c>
      <c r="I68" s="6" t="n">
        <v>131.5</v>
      </c>
      <c r="J68" s="6" t="n">
        <v>114.5</v>
      </c>
    </row>
    <row collapsed="false" customFormat="false" customHeight="false" hidden="false" ht="12.1" outlineLevel="0" r="69">
      <c r="A69" s="39" t="n">
        <v>45456</v>
      </c>
      <c r="B69" s="2" t="s">
        <v>803</v>
      </c>
      <c r="C69" s="2" t="s">
        <v>173</v>
      </c>
      <c r="D69" s="2" t="s">
        <v>174</v>
      </c>
      <c r="E69" s="6" t="n">
        <v>1000</v>
      </c>
      <c r="F69" s="7" t="n">
        <v>7</v>
      </c>
      <c r="G69" s="6" t="n">
        <v>17.83</v>
      </c>
      <c r="H69" s="6" t="n">
        <v>16</v>
      </c>
      <c r="I69" s="6" t="n">
        <v>124.81</v>
      </c>
      <c r="J69" s="6" t="n">
        <v>108.81</v>
      </c>
    </row>
    <row collapsed="false" customFormat="false" customHeight="false" hidden="false" ht="12.1" outlineLevel="0" r="70">
      <c r="A70" s="39" t="n">
        <v>45467</v>
      </c>
      <c r="B70" s="2" t="s">
        <v>803</v>
      </c>
      <c r="C70" s="2" t="s">
        <v>224</v>
      </c>
      <c r="D70" s="2" t="s">
        <v>225</v>
      </c>
      <c r="E70" s="6" t="n">
        <v>1000</v>
      </c>
      <c r="F70" s="7" t="n">
        <v>2</v>
      </c>
      <c r="G70" s="6" t="n">
        <v>31.66</v>
      </c>
      <c r="H70" s="6" t="n">
        <v>8</v>
      </c>
      <c r="I70" s="6" t="n">
        <v>63.32</v>
      </c>
      <c r="J70" s="6" t="n">
        <v>55.32</v>
      </c>
    </row>
    <row collapsed="false" customFormat="false" customHeight="false" hidden="false" ht="12.1" outlineLevel="0" r="71">
      <c r="A71" s="39" t="n">
        <v>45469</v>
      </c>
      <c r="B71" s="2" t="s">
        <v>803</v>
      </c>
      <c r="C71" s="2" t="s">
        <v>155</v>
      </c>
      <c r="D71" s="2" t="s">
        <v>156</v>
      </c>
      <c r="E71" s="6" t="n">
        <v>1000</v>
      </c>
      <c r="F71" s="7" t="n">
        <v>3</v>
      </c>
      <c r="G71" s="6" t="n">
        <v>11.18</v>
      </c>
      <c r="H71" s="6" t="n">
        <v>4</v>
      </c>
      <c r="I71" s="6" t="n">
        <v>33.54</v>
      </c>
      <c r="J71" s="6" t="n">
        <v>29.54</v>
      </c>
    </row>
    <row collapsed="false" customFormat="false" customHeight="false" hidden="false" ht="12.1" outlineLevel="0" r="72">
      <c r="A72" s="39" t="n">
        <v>45473</v>
      </c>
      <c r="B72" s="2" t="s">
        <v>803</v>
      </c>
      <c r="C72" s="2" t="s">
        <v>221</v>
      </c>
      <c r="D72" s="2" t="s">
        <v>222</v>
      </c>
      <c r="E72" s="6" t="n">
        <v>1000</v>
      </c>
      <c r="F72" s="7" t="n">
        <v>7</v>
      </c>
      <c r="G72" s="6" t="n">
        <v>6.58</v>
      </c>
      <c r="H72" s="6" t="n">
        <v>6</v>
      </c>
      <c r="I72" s="6" t="n">
        <v>46.06</v>
      </c>
      <c r="J72" s="6" t="n">
        <v>40.06</v>
      </c>
    </row>
    <row collapsed="false" customFormat="false" customHeight="false" hidden="false" ht="12.1" outlineLevel="0" r="73">
      <c r="A73" s="39" t="n">
        <v>45476</v>
      </c>
      <c r="B73" s="2" t="s">
        <v>803</v>
      </c>
      <c r="C73" s="2" t="s">
        <v>212</v>
      </c>
      <c r="D73" s="2" t="s">
        <v>213</v>
      </c>
      <c r="E73" s="6" t="n">
        <v>1000</v>
      </c>
      <c r="F73" s="7" t="n">
        <v>4</v>
      </c>
      <c r="G73" s="6" t="n">
        <v>29.42</v>
      </c>
      <c r="H73" s="6" t="n">
        <v>15</v>
      </c>
      <c r="I73" s="6" t="n">
        <v>117.68</v>
      </c>
      <c r="J73" s="6" t="n">
        <v>102.68</v>
      </c>
    </row>
    <row collapsed="false" customFormat="false" customHeight="false" hidden="false" ht="12.1" outlineLevel="0" r="74">
      <c r="A74" s="39" t="n">
        <v>45476</v>
      </c>
      <c r="B74" s="2" t="s">
        <v>803</v>
      </c>
      <c r="C74" s="2" t="s">
        <v>188</v>
      </c>
      <c r="D74" s="2" t="s">
        <v>189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45481</v>
      </c>
      <c r="B75" s="2" t="s">
        <v>803</v>
      </c>
      <c r="C75" s="2" t="s">
        <v>545</v>
      </c>
      <c r="D75" s="2" t="s">
        <v>810</v>
      </c>
      <c r="E75" s="6" t="n">
        <v>1000</v>
      </c>
      <c r="F75" s="7" t="n">
        <v>2</v>
      </c>
      <c r="G75" s="6" t="n">
        <v>10.68</v>
      </c>
      <c r="H75" s="6" t="n">
        <v>3</v>
      </c>
      <c r="I75" s="6" t="n">
        <v>21.36</v>
      </c>
      <c r="J75" s="6" t="n">
        <v>18.36</v>
      </c>
    </row>
    <row collapsed="false" customFormat="false" customHeight="false" hidden="false" ht="12.1" outlineLevel="0" r="76">
      <c r="A76" s="39" t="n">
        <v>45481</v>
      </c>
      <c r="B76" s="2" t="s">
        <v>803</v>
      </c>
      <c r="C76" s="2" t="s">
        <v>542</v>
      </c>
      <c r="D76" s="2" t="s">
        <v>808</v>
      </c>
      <c r="E76" s="6" t="n">
        <v>1000</v>
      </c>
      <c r="F76" s="7" t="n">
        <v>2</v>
      </c>
      <c r="G76" s="6" t="n">
        <v>44.88</v>
      </c>
      <c r="H76" s="6" t="n">
        <v>12</v>
      </c>
      <c r="I76" s="6" t="n">
        <v>89.76</v>
      </c>
      <c r="J76" s="6" t="n">
        <v>77.76</v>
      </c>
    </row>
    <row collapsed="false" customFormat="false" customHeight="false" hidden="false" ht="12.1" outlineLevel="0" r="77">
      <c r="A77" s="39" t="n">
        <v>45484</v>
      </c>
      <c r="B77" s="2" t="s">
        <v>803</v>
      </c>
      <c r="C77" s="2" t="s">
        <v>541</v>
      </c>
      <c r="D77" s="2" t="s">
        <v>809</v>
      </c>
      <c r="E77" s="6" t="n">
        <v>1000</v>
      </c>
      <c r="F77" s="7" t="n">
        <v>3</v>
      </c>
      <c r="G77" s="6" t="n">
        <v>13.36</v>
      </c>
      <c r="H77" s="6" t="n">
        <v>5</v>
      </c>
      <c r="I77" s="6" t="n">
        <v>40.08</v>
      </c>
      <c r="J77" s="6" t="n">
        <v>35.08</v>
      </c>
    </row>
    <row collapsed="false" customFormat="false" customHeight="false" hidden="false" ht="12.1" outlineLevel="0" r="78">
      <c r="A78" s="39" t="n">
        <v>45485</v>
      </c>
      <c r="B78" s="2" t="s">
        <v>803</v>
      </c>
      <c r="C78" s="2" t="s">
        <v>194</v>
      </c>
      <c r="D78" s="2" t="s">
        <v>195</v>
      </c>
      <c r="E78" s="6" t="n">
        <v>1000</v>
      </c>
      <c r="F78" s="7" t="n">
        <v>10</v>
      </c>
      <c r="G78" s="6" t="n">
        <v>13.15</v>
      </c>
      <c r="H78" s="6" t="n">
        <v>17</v>
      </c>
      <c r="I78" s="6" t="n">
        <v>131.5</v>
      </c>
      <c r="J78" s="6" t="n">
        <v>114.5</v>
      </c>
    </row>
    <row collapsed="false" customFormat="false" customHeight="false" hidden="false" ht="12.1" outlineLevel="0" r="79">
      <c r="A79" s="39" t="n">
        <v>45497</v>
      </c>
      <c r="B79" s="2" t="s">
        <v>803</v>
      </c>
      <c r="C79" s="2" t="s">
        <v>209</v>
      </c>
      <c r="D79" s="2" t="s">
        <v>210</v>
      </c>
      <c r="E79" s="6" t="n">
        <v>1000</v>
      </c>
      <c r="F79" s="7" t="n">
        <v>2</v>
      </c>
      <c r="G79" s="6" t="n">
        <v>44.88</v>
      </c>
      <c r="H79" s="6" t="n">
        <v>12</v>
      </c>
      <c r="I79" s="6" t="n">
        <v>89.76</v>
      </c>
      <c r="J79" s="6" t="n">
        <v>77.76</v>
      </c>
    </row>
    <row collapsed="false" customFormat="false" customHeight="false" hidden="false" ht="12.1" outlineLevel="0" r="80">
      <c r="A80" s="39" t="n">
        <v>45497</v>
      </c>
      <c r="B80" s="2" t="s">
        <v>803</v>
      </c>
      <c r="C80" s="2" t="s">
        <v>182</v>
      </c>
      <c r="D80" s="2" t="s">
        <v>183</v>
      </c>
      <c r="E80" s="6" t="n">
        <v>1000</v>
      </c>
      <c r="F80" s="7" t="n">
        <v>7</v>
      </c>
      <c r="G80" s="6" t="n">
        <v>16.83</v>
      </c>
      <c r="H80" s="6" t="n">
        <v>15</v>
      </c>
      <c r="I80" s="6" t="n">
        <v>117.81</v>
      </c>
      <c r="J80" s="6" t="n">
        <v>102.81</v>
      </c>
    </row>
    <row collapsed="false" customFormat="false" customHeight="false" hidden="false" ht="12.1" outlineLevel="0" r="81">
      <c r="A81" s="39" t="n">
        <v>45499</v>
      </c>
      <c r="B81" s="2" t="s">
        <v>803</v>
      </c>
      <c r="C81" s="2" t="s">
        <v>155</v>
      </c>
      <c r="D81" s="2" t="s">
        <v>156</v>
      </c>
      <c r="E81" s="6" t="n">
        <v>1000</v>
      </c>
      <c r="F81" s="7" t="n">
        <v>8</v>
      </c>
      <c r="G81" s="6" t="n">
        <v>11.18</v>
      </c>
      <c r="H81" s="6" t="n">
        <v>12</v>
      </c>
      <c r="I81" s="6" t="n">
        <v>89.44</v>
      </c>
      <c r="J81" s="6" t="n">
        <v>77.44</v>
      </c>
    </row>
    <row collapsed="false" customFormat="false" customHeight="false" hidden="false" ht="12.1" outlineLevel="0" r="82">
      <c r="A82" s="39" t="n">
        <v>45504</v>
      </c>
      <c r="B82" s="2" t="s">
        <v>803</v>
      </c>
      <c r="C82" s="2" t="s">
        <v>221</v>
      </c>
      <c r="D82" s="2" t="s">
        <v>222</v>
      </c>
      <c r="E82" s="6" t="n">
        <v>942.27</v>
      </c>
      <c r="F82" s="7" t="n">
        <v>7</v>
      </c>
      <c r="G82" s="6" t="n">
        <v>6.4</v>
      </c>
      <c r="H82" s="6" t="n">
        <v>6</v>
      </c>
      <c r="I82" s="6" t="n">
        <v>44.8</v>
      </c>
      <c r="J82" s="6" t="n">
        <v>38.8</v>
      </c>
    </row>
    <row collapsed="false" customFormat="false" customHeight="false" hidden="false" ht="12.1" outlineLevel="0" r="83">
      <c r="A83" s="39" t="n">
        <v>45505</v>
      </c>
      <c r="B83" s="2" t="s">
        <v>803</v>
      </c>
      <c r="C83" s="2" t="s">
        <v>233</v>
      </c>
      <c r="D83" s="2" t="s">
        <v>234</v>
      </c>
      <c r="E83" s="6" t="n">
        <v>657.45</v>
      </c>
      <c r="F83" s="7" t="n">
        <v>10</v>
      </c>
      <c r="G83" s="6" t="n">
        <v>6.14</v>
      </c>
      <c r="H83" s="6" t="n">
        <v>8</v>
      </c>
      <c r="I83" s="6" t="n">
        <v>61.4</v>
      </c>
      <c r="J83" s="6" t="n">
        <v>53.4</v>
      </c>
    </row>
    <row collapsed="false" customFormat="false" customHeight="false" hidden="false" ht="12.1" outlineLevel="0" r="84">
      <c r="A84" s="39" t="n">
        <v>45506</v>
      </c>
      <c r="B84" s="2" t="s">
        <v>803</v>
      </c>
      <c r="C84" s="2" t="s">
        <v>188</v>
      </c>
      <c r="D84" s="2" t="s">
        <v>189</v>
      </c>
      <c r="E84" s="6" t="n">
        <v>1000</v>
      </c>
      <c r="F84" s="7" t="n">
        <v>4</v>
      </c>
      <c r="G84" s="6" t="n">
        <v>11.26</v>
      </c>
      <c r="H84" s="6" t="n">
        <v>6</v>
      </c>
      <c r="I84" s="6" t="n">
        <v>45.04</v>
      </c>
      <c r="J84" s="6" t="n">
        <v>39.04</v>
      </c>
    </row>
    <row collapsed="false" customFormat="false" customHeight="false" hidden="false" ht="12.1" outlineLevel="0" r="85">
      <c r="A85" s="39" t="n">
        <v>45511</v>
      </c>
      <c r="B85" s="2" t="s">
        <v>803</v>
      </c>
      <c r="C85" s="2" t="s">
        <v>545</v>
      </c>
      <c r="D85" s="2" t="s">
        <v>810</v>
      </c>
      <c r="E85" s="6" t="n">
        <v>1000</v>
      </c>
      <c r="F85" s="7" t="n">
        <v>2</v>
      </c>
      <c r="G85" s="6" t="n">
        <v>10.68</v>
      </c>
      <c r="H85" s="6" t="n">
        <v>3</v>
      </c>
      <c r="I85" s="6" t="n">
        <v>21.36</v>
      </c>
      <c r="J85" s="6" t="n">
        <v>18.36</v>
      </c>
    </row>
    <row collapsed="false" customFormat="false" customHeight="false" hidden="false" ht="12.1" outlineLevel="0" r="86">
      <c r="A86" s="39" t="n">
        <v>45514</v>
      </c>
      <c r="B86" s="2" t="s">
        <v>803</v>
      </c>
      <c r="C86" s="2" t="s">
        <v>541</v>
      </c>
      <c r="D86" s="2" t="s">
        <v>809</v>
      </c>
      <c r="E86" s="6" t="n">
        <v>1000</v>
      </c>
      <c r="F86" s="7" t="n">
        <v>3</v>
      </c>
      <c r="G86" s="6" t="n">
        <v>13.36</v>
      </c>
      <c r="H86" s="6" t="n">
        <v>5</v>
      </c>
      <c r="I86" s="6" t="n">
        <v>40.08</v>
      </c>
      <c r="J86" s="6" t="n">
        <v>35.08</v>
      </c>
    </row>
    <row collapsed="false" customFormat="false" customHeight="false" hidden="false" ht="12.1" outlineLevel="0" r="87">
      <c r="A87" s="39" t="n">
        <v>45515</v>
      </c>
      <c r="B87" s="2" t="s">
        <v>803</v>
      </c>
      <c r="C87" s="2" t="s">
        <v>194</v>
      </c>
      <c r="D87" s="2" t="s">
        <v>195</v>
      </c>
      <c r="E87" s="6" t="n">
        <v>1000</v>
      </c>
      <c r="F87" s="7" t="n">
        <v>10</v>
      </c>
      <c r="G87" s="6" t="n">
        <v>13.15</v>
      </c>
      <c r="H87" s="6" t="n">
        <v>17</v>
      </c>
      <c r="I87" s="6" t="n">
        <v>131.5</v>
      </c>
      <c r="J87" s="6" t="n">
        <v>114.5</v>
      </c>
    </row>
    <row collapsed="false" customFormat="false" customHeight="false" hidden="false" ht="12.1" outlineLevel="0" r="88">
      <c r="A88" s="39" t="n">
        <v>45517</v>
      </c>
      <c r="B88" s="2" t="s">
        <v>803</v>
      </c>
      <c r="C88" s="2" t="s">
        <v>140</v>
      </c>
      <c r="D88" s="2" t="s">
        <v>141</v>
      </c>
      <c r="E88" s="6" t="n">
        <v>1000</v>
      </c>
      <c r="F88" s="7" t="n">
        <v>80</v>
      </c>
      <c r="G88" s="6" t="n">
        <v>34.9</v>
      </c>
      <c r="H88" s="6" t="n">
        <v>363</v>
      </c>
      <c r="I88" s="6" t="n">
        <v>2792</v>
      </c>
      <c r="J88" s="6" t="n">
        <v>2429</v>
      </c>
    </row>
    <row collapsed="false" customFormat="false" customHeight="false" hidden="false" ht="12.1" outlineLevel="0" r="89">
      <c r="A89" s="39" t="n">
        <v>45518</v>
      </c>
      <c r="B89" s="2" t="s">
        <v>803</v>
      </c>
      <c r="C89" s="2" t="s">
        <v>215</v>
      </c>
      <c r="D89" s="2" t="s">
        <v>216</v>
      </c>
      <c r="E89" s="6" t="n">
        <v>1000</v>
      </c>
      <c r="F89" s="7" t="n">
        <v>5</v>
      </c>
      <c r="G89" s="6" t="n">
        <v>39.89</v>
      </c>
      <c r="H89" s="6" t="n">
        <v>26</v>
      </c>
      <c r="I89" s="6" t="n">
        <v>199.45</v>
      </c>
      <c r="J89" s="6" t="n">
        <v>173.45</v>
      </c>
    </row>
    <row collapsed="false" customFormat="false" customHeight="false" hidden="false" ht="12.1" outlineLevel="0" r="90">
      <c r="A90" s="39" t="n">
        <v>45519</v>
      </c>
      <c r="B90" s="2" t="s">
        <v>803</v>
      </c>
      <c r="C90" s="2" t="s">
        <v>227</v>
      </c>
      <c r="D90" s="2" t="s">
        <v>228</v>
      </c>
      <c r="E90" s="6" t="n">
        <v>1000</v>
      </c>
      <c r="F90" s="7" t="n">
        <v>2</v>
      </c>
      <c r="G90" s="6" t="n">
        <v>66.32</v>
      </c>
      <c r="H90" s="6" t="n">
        <v>17</v>
      </c>
      <c r="I90" s="6" t="n">
        <v>132.64</v>
      </c>
      <c r="J90" s="6" t="n">
        <v>115.64</v>
      </c>
    </row>
    <row collapsed="false" customFormat="false" customHeight="false" hidden="false" ht="12.1" outlineLevel="0" r="91">
      <c r="A91" s="39" t="n">
        <v>45523</v>
      </c>
      <c r="B91" s="2" t="s">
        <v>803</v>
      </c>
      <c r="C91" s="2" t="s">
        <v>544</v>
      </c>
      <c r="D91" s="2" t="s">
        <v>811</v>
      </c>
      <c r="E91" s="6" t="n">
        <v>1000</v>
      </c>
      <c r="F91" s="7" t="n">
        <v>2</v>
      </c>
      <c r="G91" s="6" t="n">
        <v>8</v>
      </c>
      <c r="H91" s="6" t="n">
        <v>2</v>
      </c>
      <c r="I91" s="6" t="n">
        <v>16</v>
      </c>
      <c r="J91" s="6" t="n">
        <v>14</v>
      </c>
    </row>
    <row collapsed="false" customFormat="false" customHeight="false" hidden="false" ht="12.1" outlineLevel="0" r="92">
      <c r="A92" s="39" t="n">
        <v>45524</v>
      </c>
      <c r="B92" s="2" t="s">
        <v>803</v>
      </c>
      <c r="C92" s="2" t="s">
        <v>203</v>
      </c>
      <c r="D92" s="2" t="s">
        <v>204</v>
      </c>
      <c r="E92" s="6" t="n">
        <v>1000</v>
      </c>
      <c r="F92" s="7" t="n">
        <v>5</v>
      </c>
      <c r="G92" s="6" t="n">
        <v>34.16</v>
      </c>
      <c r="H92" s="6" t="n">
        <v>22</v>
      </c>
      <c r="I92" s="6" t="n">
        <v>170.8</v>
      </c>
      <c r="J92" s="6" t="n">
        <v>148.8</v>
      </c>
    </row>
    <row collapsed="false" customFormat="false" customHeight="false" hidden="false" ht="12.1" outlineLevel="0" r="93">
      <c r="A93" s="39" t="n">
        <v>45524</v>
      </c>
      <c r="B93" s="2" t="s">
        <v>803</v>
      </c>
      <c r="C93" s="2" t="s">
        <v>170</v>
      </c>
      <c r="D93" s="2" t="s">
        <v>171</v>
      </c>
      <c r="E93" s="6" t="n">
        <v>1000</v>
      </c>
      <c r="F93" s="7" t="n">
        <v>19</v>
      </c>
      <c r="G93" s="6" t="n">
        <v>32.16</v>
      </c>
      <c r="H93" s="6" t="n">
        <v>79</v>
      </c>
      <c r="I93" s="6" t="n">
        <v>611.04</v>
      </c>
      <c r="J93" s="6" t="n">
        <v>532.04</v>
      </c>
    </row>
    <row collapsed="false" customFormat="false" customHeight="false" hidden="false" ht="12.1" outlineLevel="0" r="94">
      <c r="A94" s="39" t="n">
        <v>45529</v>
      </c>
      <c r="B94" s="2" t="s">
        <v>803</v>
      </c>
      <c r="C94" s="2" t="s">
        <v>155</v>
      </c>
      <c r="D94" s="2" t="s">
        <v>156</v>
      </c>
      <c r="E94" s="6" t="n">
        <v>1000</v>
      </c>
      <c r="F94" s="7" t="n">
        <v>8</v>
      </c>
      <c r="G94" s="6" t="n">
        <v>11.18</v>
      </c>
      <c r="H94" s="6" t="n">
        <v>12</v>
      </c>
      <c r="I94" s="6" t="n">
        <v>89.44</v>
      </c>
      <c r="J94" s="6" t="n">
        <v>77.44</v>
      </c>
    </row>
    <row collapsed="false" customFormat="false" customHeight="false" hidden="false" ht="12.1" outlineLevel="0" r="95">
      <c r="A95" s="39" t="n">
        <v>45529</v>
      </c>
      <c r="B95" s="2" t="s">
        <v>803</v>
      </c>
      <c r="C95" s="2" t="s">
        <v>197</v>
      </c>
      <c r="D95" s="2" t="s">
        <v>198</v>
      </c>
      <c r="E95" s="6" t="n">
        <v>1000</v>
      </c>
      <c r="F95" s="7" t="n">
        <v>5</v>
      </c>
      <c r="G95" s="6" t="n">
        <v>18.32</v>
      </c>
      <c r="H95" s="6" t="n">
        <v>12</v>
      </c>
      <c r="I95" s="6" t="n">
        <v>91.6</v>
      </c>
      <c r="J95" s="6" t="n">
        <v>79.6</v>
      </c>
    </row>
    <row collapsed="false" customFormat="false" customHeight="false" hidden="false" ht="12.1" outlineLevel="0" r="96">
      <c r="A96" s="39" t="n">
        <v>45533</v>
      </c>
      <c r="B96" s="2" t="s">
        <v>803</v>
      </c>
      <c r="C96" s="2" t="s">
        <v>218</v>
      </c>
      <c r="D96" s="2" t="s">
        <v>219</v>
      </c>
      <c r="E96" s="6" t="n">
        <v>1000</v>
      </c>
      <c r="F96" s="7" t="n">
        <v>3</v>
      </c>
      <c r="G96" s="6" t="n">
        <v>24.81</v>
      </c>
      <c r="H96" s="6" t="n">
        <v>10</v>
      </c>
      <c r="I96" s="6" t="n">
        <v>74.43</v>
      </c>
      <c r="J96" s="6" t="n">
        <v>64.43</v>
      </c>
    </row>
    <row collapsed="false" customFormat="false" customHeight="false" hidden="false" ht="12.1" outlineLevel="0" r="97">
      <c r="A97" s="39" t="n">
        <v>45535</v>
      </c>
      <c r="B97" s="2" t="s">
        <v>803</v>
      </c>
      <c r="C97" s="2" t="s">
        <v>221</v>
      </c>
      <c r="D97" s="2" t="s">
        <v>222</v>
      </c>
      <c r="E97" s="6" t="n">
        <v>891.77</v>
      </c>
      <c r="F97" s="7" t="n">
        <v>7</v>
      </c>
      <c r="G97" s="6" t="n">
        <v>6.06</v>
      </c>
      <c r="H97" s="6" t="n">
        <v>6</v>
      </c>
      <c r="I97" s="6" t="n">
        <v>42.42</v>
      </c>
      <c r="J97" s="6" t="n">
        <v>36.42</v>
      </c>
    </row>
    <row collapsed="false" customFormat="false" customHeight="false" hidden="false" ht="12.1" outlineLevel="0" r="98">
      <c r="A98" s="39" t="n">
        <v>45536</v>
      </c>
      <c r="B98" s="2" t="s">
        <v>803</v>
      </c>
      <c r="C98" s="2" t="s">
        <v>188</v>
      </c>
      <c r="D98" s="2" t="s">
        <v>189</v>
      </c>
      <c r="E98" s="6" t="n">
        <v>1000</v>
      </c>
      <c r="F98" s="7" t="n">
        <v>7</v>
      </c>
      <c r="G98" s="6" t="n">
        <v>11.26</v>
      </c>
      <c r="H98" s="6" t="n">
        <v>10</v>
      </c>
      <c r="I98" s="6" t="n">
        <v>78.82</v>
      </c>
      <c r="J98" s="6" t="n">
        <v>68.82</v>
      </c>
    </row>
    <row collapsed="false" customFormat="false" customHeight="false" hidden="false" ht="12.1" outlineLevel="0" r="99">
      <c r="A99" s="39" t="n">
        <v>45536</v>
      </c>
      <c r="B99" s="2" t="s">
        <v>803</v>
      </c>
      <c r="C99" s="2" t="s">
        <v>233</v>
      </c>
      <c r="D99" s="2" t="s">
        <v>234</v>
      </c>
      <c r="E99" s="6" t="n">
        <v>616.2</v>
      </c>
      <c r="F99" s="7" t="n">
        <v>10</v>
      </c>
      <c r="G99" s="6" t="n">
        <v>5.76</v>
      </c>
      <c r="H99" s="6" t="n">
        <v>7</v>
      </c>
      <c r="I99" s="6" t="n">
        <v>57.6</v>
      </c>
      <c r="J99" s="6" t="n">
        <v>50.6</v>
      </c>
    </row>
    <row collapsed="false" customFormat="false" customHeight="false" hidden="false" ht="12.1" outlineLevel="0" r="100">
      <c r="A100" s="39" t="n">
        <v>45538</v>
      </c>
      <c r="B100" s="2" t="s">
        <v>803</v>
      </c>
      <c r="C100" s="2" t="s">
        <v>206</v>
      </c>
      <c r="D100" s="2" t="s">
        <v>207</v>
      </c>
      <c r="E100" s="6" t="n">
        <v>1000</v>
      </c>
      <c r="F100" s="7" t="n">
        <v>5</v>
      </c>
      <c r="G100" s="6" t="n">
        <v>46.12</v>
      </c>
      <c r="H100" s="6" t="n">
        <v>30</v>
      </c>
      <c r="I100" s="6" t="n">
        <v>230.6</v>
      </c>
      <c r="J100" s="6" t="n">
        <v>200.6</v>
      </c>
    </row>
    <row collapsed="false" customFormat="false" customHeight="false" hidden="false" ht="12.1" outlineLevel="0" r="101">
      <c r="A101" s="39" t="n">
        <v>45541</v>
      </c>
      <c r="B101" s="2" t="s">
        <v>803</v>
      </c>
      <c r="C101" s="2" t="s">
        <v>545</v>
      </c>
      <c r="D101" s="2" t="s">
        <v>810</v>
      </c>
      <c r="E101" s="6" t="n">
        <v>1000</v>
      </c>
      <c r="F101" s="7" t="n">
        <v>2</v>
      </c>
      <c r="G101" s="6" t="n">
        <v>10.68</v>
      </c>
      <c r="H101" s="6" t="n">
        <v>3</v>
      </c>
      <c r="I101" s="6" t="n">
        <v>21.36</v>
      </c>
      <c r="J101" s="6" t="n">
        <v>18.36</v>
      </c>
    </row>
    <row collapsed="false" customFormat="false" customHeight="false" hidden="false" ht="12.1" outlineLevel="0" r="102">
      <c r="A102" s="39" t="n">
        <v>45544</v>
      </c>
      <c r="B102" s="2" t="s">
        <v>803</v>
      </c>
      <c r="C102" s="2" t="s">
        <v>541</v>
      </c>
      <c r="D102" s="2" t="s">
        <v>809</v>
      </c>
      <c r="E102" s="6" t="n">
        <v>1000</v>
      </c>
      <c r="F102" s="7" t="n">
        <v>3</v>
      </c>
      <c r="G102" s="6" t="n">
        <v>13.36</v>
      </c>
      <c r="H102" s="6" t="n">
        <v>5</v>
      </c>
      <c r="I102" s="6" t="n">
        <v>40.08</v>
      </c>
      <c r="J102" s="6" t="n">
        <v>35.08</v>
      </c>
    </row>
    <row collapsed="false" customFormat="false" customHeight="false" hidden="false" ht="12.1" outlineLevel="0" r="103">
      <c r="A103" s="39" t="n">
        <v>45545</v>
      </c>
      <c r="B103" s="2" t="s">
        <v>803</v>
      </c>
      <c r="C103" s="2" t="s">
        <v>242</v>
      </c>
      <c r="D103" s="2" t="s">
        <v>243</v>
      </c>
      <c r="E103" s="6" t="n">
        <v>656.19</v>
      </c>
      <c r="F103" s="7" t="n">
        <v>1</v>
      </c>
      <c r="G103" s="6" t="n">
        <v>28.63</v>
      </c>
      <c r="H103" s="6" t="n">
        <v>4</v>
      </c>
      <c r="I103" s="6" t="n">
        <v>28.63</v>
      </c>
      <c r="J103" s="6" t="n">
        <v>24.63</v>
      </c>
    </row>
    <row collapsed="false" customFormat="false" customHeight="false" hidden="false" ht="12.1" outlineLevel="0" r="104">
      <c r="A104" s="39" t="n">
        <v>45545</v>
      </c>
      <c r="B104" s="2" t="s">
        <v>803</v>
      </c>
      <c r="C104" s="2" t="s">
        <v>194</v>
      </c>
      <c r="D104" s="2" t="s">
        <v>195</v>
      </c>
      <c r="E104" s="6" t="n">
        <v>1000</v>
      </c>
      <c r="F104" s="7" t="n">
        <v>10</v>
      </c>
      <c r="G104" s="6" t="n">
        <v>13.15</v>
      </c>
      <c r="H104" s="6" t="n">
        <v>17</v>
      </c>
      <c r="I104" s="6" t="n">
        <v>131.5</v>
      </c>
      <c r="J104" s="6" t="n">
        <v>114.5</v>
      </c>
    </row>
    <row collapsed="false" customFormat="false" customHeight="false" hidden="false" ht="12.1" outlineLevel="0" r="105">
      <c r="A105" s="39" t="n">
        <v>45546</v>
      </c>
      <c r="B105" s="2" t="s">
        <v>803</v>
      </c>
      <c r="C105" s="2" t="s">
        <v>543</v>
      </c>
      <c r="D105" s="2" t="s">
        <v>812</v>
      </c>
      <c r="E105" s="6" t="n">
        <v>1000</v>
      </c>
      <c r="F105" s="7" t="n">
        <v>3</v>
      </c>
      <c r="G105" s="6" t="n">
        <v>39.36</v>
      </c>
      <c r="H105" s="6" t="n">
        <v>15</v>
      </c>
      <c r="I105" s="6" t="n">
        <v>118.08</v>
      </c>
      <c r="J105" s="6" t="n">
        <v>103.08</v>
      </c>
    </row>
    <row collapsed="false" customFormat="false" customHeight="false" hidden="false" ht="12.1" outlineLevel="0" r="106">
      <c r="A106" s="39" t="n">
        <v>45547</v>
      </c>
      <c r="B106" s="2" t="s">
        <v>803</v>
      </c>
      <c r="C106" s="2" t="s">
        <v>173</v>
      </c>
      <c r="D106" s="2" t="s">
        <v>174</v>
      </c>
      <c r="E106" s="6" t="n">
        <v>1000</v>
      </c>
      <c r="F106" s="7" t="n">
        <v>20</v>
      </c>
      <c r="G106" s="6" t="n">
        <v>17.83</v>
      </c>
      <c r="H106" s="6" t="n">
        <v>46</v>
      </c>
      <c r="I106" s="6" t="n">
        <v>356.6</v>
      </c>
      <c r="J106" s="6" t="n">
        <v>310.6</v>
      </c>
    </row>
    <row collapsed="false" customFormat="false" customHeight="false" hidden="false" ht="12.1" outlineLevel="0" r="107">
      <c r="A107" s="39" t="n">
        <v>45552</v>
      </c>
      <c r="B107" s="2" t="s">
        <v>803</v>
      </c>
      <c r="C107" s="2" t="s">
        <v>158</v>
      </c>
      <c r="D107" s="2" t="s">
        <v>159</v>
      </c>
      <c r="E107" s="6" t="n">
        <v>1000</v>
      </c>
      <c r="F107" s="7" t="n">
        <v>34</v>
      </c>
      <c r="G107" s="6" t="n">
        <v>33.41</v>
      </c>
      <c r="H107" s="6" t="n">
        <v>148</v>
      </c>
      <c r="I107" s="6" t="n">
        <v>1135.94</v>
      </c>
      <c r="J107" s="6" t="n">
        <v>987.94</v>
      </c>
    </row>
    <row collapsed="false" customFormat="false" customHeight="false" hidden="false" ht="12.1" outlineLevel="0" r="108">
      <c r="A108" s="39" t="n">
        <v>45552</v>
      </c>
      <c r="B108" s="2" t="s">
        <v>803</v>
      </c>
      <c r="C108" s="2" t="s">
        <v>176</v>
      </c>
      <c r="D108" s="2" t="s">
        <v>177</v>
      </c>
      <c r="E108" s="6" t="n">
        <v>1000</v>
      </c>
      <c r="F108" s="7" t="n">
        <v>15</v>
      </c>
      <c r="G108" s="6" t="n">
        <v>38.64</v>
      </c>
      <c r="H108" s="6" t="n">
        <v>75</v>
      </c>
      <c r="I108" s="6" t="n">
        <v>579.6</v>
      </c>
      <c r="J108" s="6" t="n">
        <v>504.6</v>
      </c>
    </row>
    <row collapsed="false" customFormat="false" customHeight="false" hidden="false" ht="12.1" outlineLevel="0" r="109">
      <c r="A109" s="39" t="n">
        <v>45558</v>
      </c>
      <c r="B109" s="2" t="s">
        <v>803</v>
      </c>
      <c r="C109" s="2" t="s">
        <v>224</v>
      </c>
      <c r="D109" s="2" t="s">
        <v>225</v>
      </c>
      <c r="E109" s="6" t="n">
        <v>1000</v>
      </c>
      <c r="F109" s="7" t="n">
        <v>2</v>
      </c>
      <c r="G109" s="6" t="n">
        <v>31.66</v>
      </c>
      <c r="H109" s="6" t="n">
        <v>8</v>
      </c>
      <c r="I109" s="6" t="n">
        <v>63.32</v>
      </c>
      <c r="J109" s="6" t="n">
        <v>55.32</v>
      </c>
    </row>
    <row collapsed="false" customFormat="false" customHeight="false" hidden="false" ht="12.1" outlineLevel="0" r="110">
      <c r="A110" s="39" t="n">
        <v>45559</v>
      </c>
      <c r="B110" s="2" t="s">
        <v>803</v>
      </c>
      <c r="C110" s="2" t="s">
        <v>239</v>
      </c>
      <c r="D110" s="2" t="s">
        <v>240</v>
      </c>
      <c r="E110" s="6" t="n">
        <v>1000</v>
      </c>
      <c r="F110" s="7" t="n">
        <v>2</v>
      </c>
      <c r="G110" s="6" t="n">
        <v>54.35</v>
      </c>
      <c r="H110" s="6" t="n">
        <v>14</v>
      </c>
      <c r="I110" s="6" t="n">
        <v>108.7</v>
      </c>
      <c r="J110" s="6" t="n">
        <v>94.7</v>
      </c>
    </row>
    <row collapsed="false" customFormat="false" customHeight="false" hidden="false" ht="12.1" outlineLevel="0" r="111">
      <c r="A111" s="39" t="n">
        <v>45559</v>
      </c>
      <c r="B111" s="2" t="s">
        <v>803</v>
      </c>
      <c r="C111" s="2" t="s">
        <v>146</v>
      </c>
      <c r="D111" s="2" t="s">
        <v>147</v>
      </c>
      <c r="E111" s="6" t="n">
        <v>1000</v>
      </c>
      <c r="F111" s="7" t="n">
        <v>40</v>
      </c>
      <c r="G111" s="6" t="n">
        <v>56.1</v>
      </c>
      <c r="H111" s="6" t="n">
        <v>292</v>
      </c>
      <c r="I111" s="6" t="n">
        <v>2244</v>
      </c>
      <c r="J111" s="6" t="n">
        <v>1952</v>
      </c>
    </row>
    <row collapsed="false" customFormat="false" customHeight="false" hidden="false" ht="12.1" outlineLevel="0" r="112">
      <c r="A112" s="39" t="n">
        <v>45559</v>
      </c>
      <c r="B112" s="2" t="s">
        <v>803</v>
      </c>
      <c r="C112" s="2" t="s">
        <v>155</v>
      </c>
      <c r="D112" s="2" t="s">
        <v>156</v>
      </c>
      <c r="E112" s="6" t="n">
        <v>1000</v>
      </c>
      <c r="F112" s="7" t="n">
        <v>8</v>
      </c>
      <c r="G112" s="6" t="n">
        <v>11.18</v>
      </c>
      <c r="H112" s="6" t="n">
        <v>12</v>
      </c>
      <c r="I112" s="6" t="n">
        <v>89.44</v>
      </c>
      <c r="J112" s="6" t="n">
        <v>77.44</v>
      </c>
    </row>
    <row collapsed="false" customFormat="false" customHeight="false" hidden="false" ht="12.1" outlineLevel="0" r="113">
      <c r="A113" s="39" t="n">
        <v>45559</v>
      </c>
      <c r="B113" s="2" t="s">
        <v>803</v>
      </c>
      <c r="C113" s="2" t="s">
        <v>152</v>
      </c>
      <c r="D113" s="2" t="s">
        <v>153</v>
      </c>
      <c r="E113" s="6" t="n">
        <v>1000</v>
      </c>
      <c r="F113" s="7" t="n">
        <v>20</v>
      </c>
      <c r="G113" s="6" t="n">
        <v>43.73</v>
      </c>
      <c r="H113" s="6" t="n">
        <v>114</v>
      </c>
      <c r="I113" s="6" t="n">
        <v>874.6</v>
      </c>
      <c r="J113" s="6" t="n">
        <v>760.6</v>
      </c>
    </row>
    <row collapsed="false" customFormat="false" customHeight="false" hidden="false" ht="12.1" outlineLevel="0" r="114">
      <c r="A114" s="39" t="n">
        <v>45565</v>
      </c>
      <c r="B114" s="2" t="s">
        <v>803</v>
      </c>
      <c r="C114" s="2" t="s">
        <v>221</v>
      </c>
      <c r="D114" s="2" t="s">
        <v>222</v>
      </c>
      <c r="E114" s="6" t="n">
        <v>836.53</v>
      </c>
      <c r="F114" s="7" t="n">
        <v>7</v>
      </c>
      <c r="G114" s="6" t="n">
        <v>5.5</v>
      </c>
      <c r="H114" s="6" t="n">
        <v>5</v>
      </c>
      <c r="I114" s="6" t="n">
        <v>38.5</v>
      </c>
      <c r="J114" s="6" t="n">
        <v>33.5</v>
      </c>
    </row>
    <row collapsed="false" customFormat="false" customHeight="false" hidden="false" ht="12.1" outlineLevel="0" r="115">
      <c r="A115" s="39" t="n">
        <v>45566</v>
      </c>
      <c r="B115" s="2" t="s">
        <v>803</v>
      </c>
      <c r="C115" s="2" t="s">
        <v>188</v>
      </c>
      <c r="D115" s="2" t="s">
        <v>189</v>
      </c>
      <c r="E115" s="6" t="n">
        <v>1000</v>
      </c>
      <c r="F115" s="7" t="n">
        <v>7</v>
      </c>
      <c r="G115" s="6" t="n">
        <v>11.26</v>
      </c>
      <c r="H115" s="6" t="n">
        <v>10</v>
      </c>
      <c r="I115" s="6" t="n">
        <v>78.82</v>
      </c>
      <c r="J115" s="6" t="n">
        <v>68.82</v>
      </c>
    </row>
    <row collapsed="false" customFormat="false" customHeight="false" hidden="false" ht="12.1" outlineLevel="0" r="116">
      <c r="A116" s="39" t="n">
        <v>45566</v>
      </c>
      <c r="B116" s="2" t="s">
        <v>803</v>
      </c>
      <c r="C116" s="2" t="s">
        <v>149</v>
      </c>
      <c r="D116" s="2" t="s">
        <v>150</v>
      </c>
      <c r="E116" s="6" t="n">
        <v>1000</v>
      </c>
      <c r="F116" s="7" t="n">
        <v>45</v>
      </c>
      <c r="G116" s="6" t="n">
        <v>38.39</v>
      </c>
      <c r="H116" s="6" t="n">
        <v>225</v>
      </c>
      <c r="I116" s="6" t="n">
        <v>1727.55</v>
      </c>
      <c r="J116" s="6" t="n">
        <v>1502.55</v>
      </c>
    </row>
    <row collapsed="false" customFormat="false" customHeight="false" hidden="false" ht="12.1" outlineLevel="0" r="117">
      <c r="A117" s="39" t="n">
        <v>45566</v>
      </c>
      <c r="B117" s="2" t="s">
        <v>803</v>
      </c>
      <c r="C117" s="2" t="s">
        <v>233</v>
      </c>
      <c r="D117" s="2" t="s">
        <v>234</v>
      </c>
      <c r="E117" s="6" t="n">
        <v>571.13</v>
      </c>
      <c r="F117" s="7" t="n">
        <v>10</v>
      </c>
      <c r="G117" s="6" t="n">
        <v>5.16</v>
      </c>
      <c r="H117" s="6" t="n">
        <v>7</v>
      </c>
      <c r="I117" s="6" t="n">
        <v>51.6</v>
      </c>
      <c r="J117" s="6" t="n">
        <v>44.6</v>
      </c>
    </row>
    <row collapsed="false" customFormat="false" customHeight="false" hidden="false" ht="12.1" outlineLevel="0" r="118">
      <c r="A118" s="39" t="n">
        <v>45567</v>
      </c>
      <c r="B118" s="2" t="s">
        <v>803</v>
      </c>
      <c r="C118" s="2" t="s">
        <v>212</v>
      </c>
      <c r="D118" s="2" t="s">
        <v>213</v>
      </c>
      <c r="E118" s="6" t="n">
        <v>1000</v>
      </c>
      <c r="F118" s="7" t="n">
        <v>4</v>
      </c>
      <c r="G118" s="6" t="n">
        <v>29.42</v>
      </c>
      <c r="H118" s="6" t="n">
        <v>15</v>
      </c>
      <c r="I118" s="6" t="n">
        <v>117.68</v>
      </c>
      <c r="J118" s="6" t="n">
        <v>102.68</v>
      </c>
    </row>
    <row collapsed="false" customFormat="false" customHeight="false" hidden="false" ht="12.1" outlineLevel="0" r="119">
      <c r="A119" s="39" t="n">
        <v>45571</v>
      </c>
      <c r="B119" s="2" t="s">
        <v>803</v>
      </c>
      <c r="C119" s="2" t="s">
        <v>545</v>
      </c>
      <c r="D119" s="2" t="s">
        <v>810</v>
      </c>
      <c r="E119" s="6" t="n">
        <v>1000</v>
      </c>
      <c r="F119" s="7" t="n">
        <v>2</v>
      </c>
      <c r="G119" s="6" t="n">
        <v>10.68</v>
      </c>
      <c r="H119" s="6" t="n">
        <v>3</v>
      </c>
      <c r="I119" s="6" t="n">
        <v>21.36</v>
      </c>
      <c r="J119" s="6" t="n">
        <v>18.36</v>
      </c>
    </row>
    <row collapsed="false" customFormat="false" customHeight="false" hidden="false" ht="12.1" outlineLevel="0" r="120">
      <c r="A120" s="39" t="n">
        <v>45572</v>
      </c>
      <c r="B120" s="2" t="s">
        <v>803</v>
      </c>
      <c r="C120" s="2" t="s">
        <v>542</v>
      </c>
      <c r="D120" s="2" t="s">
        <v>808</v>
      </c>
      <c r="E120" s="6" t="n">
        <v>1000</v>
      </c>
      <c r="F120" s="7" t="n">
        <v>2</v>
      </c>
      <c r="G120" s="6" t="n">
        <v>44.88</v>
      </c>
      <c r="H120" s="6" t="n">
        <v>12</v>
      </c>
      <c r="I120" s="6" t="n">
        <v>89.76</v>
      </c>
      <c r="J120" s="6" t="n">
        <v>77.76</v>
      </c>
    </row>
    <row collapsed="false" customFormat="false" customHeight="false" hidden="false" ht="12.1" outlineLevel="0" r="121">
      <c r="A121" s="39" t="n">
        <v>45574</v>
      </c>
      <c r="B121" s="2" t="s">
        <v>803</v>
      </c>
      <c r="C121" s="2" t="s">
        <v>541</v>
      </c>
      <c r="D121" s="2" t="s">
        <v>809</v>
      </c>
      <c r="E121" s="6" t="n">
        <v>1000</v>
      </c>
      <c r="F121" s="7" t="n">
        <v>3</v>
      </c>
      <c r="G121" s="6" t="n">
        <v>13.36</v>
      </c>
      <c r="H121" s="6" t="n">
        <v>5</v>
      </c>
      <c r="I121" s="6" t="n">
        <v>40.08</v>
      </c>
      <c r="J121" s="6" t="n">
        <v>35.08</v>
      </c>
    </row>
    <row collapsed="false" customFormat="false" customHeight="false" hidden="false" ht="12.1" outlineLevel="0" r="122">
      <c r="A122" s="39" t="n">
        <v>45575</v>
      </c>
      <c r="B122" s="2" t="s">
        <v>803</v>
      </c>
      <c r="C122" s="2" t="s">
        <v>194</v>
      </c>
      <c r="D122" s="2" t="s">
        <v>195</v>
      </c>
      <c r="E122" s="6" t="n">
        <v>1000</v>
      </c>
      <c r="F122" s="7" t="n">
        <v>10</v>
      </c>
      <c r="G122" s="6" t="n">
        <v>13.15</v>
      </c>
      <c r="H122" s="6" t="n">
        <v>17</v>
      </c>
      <c r="I122" s="6" t="n">
        <v>131.5</v>
      </c>
      <c r="J122" s="6" t="n">
        <v>114.5</v>
      </c>
    </row>
    <row collapsed="false" customFormat="false" customHeight="false" hidden="false" ht="12.1" outlineLevel="0" r="123">
      <c r="A123" s="39" t="n">
        <v>45588</v>
      </c>
      <c r="B123" s="2" t="s">
        <v>803</v>
      </c>
      <c r="C123" s="2" t="s">
        <v>182</v>
      </c>
      <c r="D123" s="2" t="s">
        <v>183</v>
      </c>
      <c r="E123" s="6" t="n">
        <v>1000</v>
      </c>
      <c r="F123" s="7" t="n">
        <v>12</v>
      </c>
      <c r="G123" s="6" t="n">
        <v>16.83</v>
      </c>
      <c r="H123" s="6" t="n">
        <v>26</v>
      </c>
      <c r="I123" s="6" t="n">
        <v>201.96</v>
      </c>
      <c r="J123" s="6" t="n">
        <v>175.96</v>
      </c>
    </row>
    <row collapsed="false" customFormat="false" customHeight="false" hidden="false" ht="12.1" outlineLevel="0" r="124">
      <c r="A124" s="39" t="n">
        <v>45588</v>
      </c>
      <c r="B124" s="2" t="s">
        <v>803</v>
      </c>
      <c r="C124" s="2" t="s">
        <v>209</v>
      </c>
      <c r="D124" s="2" t="s">
        <v>210</v>
      </c>
      <c r="E124" s="6" t="n">
        <v>1000</v>
      </c>
      <c r="F124" s="7" t="n">
        <v>4</v>
      </c>
      <c r="G124" s="6" t="n">
        <v>44.88</v>
      </c>
      <c r="H124" s="6" t="n">
        <v>23</v>
      </c>
      <c r="I124" s="6" t="n">
        <v>179.52</v>
      </c>
      <c r="J124" s="6" t="n">
        <v>156.52</v>
      </c>
    </row>
    <row collapsed="false" customFormat="false" customHeight="false" hidden="false" ht="12.1" outlineLevel="0" r="125">
      <c r="A125" s="39" t="n">
        <v>45589</v>
      </c>
      <c r="B125" s="2" t="s">
        <v>803</v>
      </c>
      <c r="C125" s="2" t="s">
        <v>155</v>
      </c>
      <c r="D125" s="2" t="s">
        <v>156</v>
      </c>
      <c r="E125" s="6" t="n">
        <v>1000</v>
      </c>
      <c r="F125" s="7" t="n">
        <v>8</v>
      </c>
      <c r="G125" s="6" t="n">
        <v>11.18</v>
      </c>
      <c r="H125" s="6" t="n">
        <v>12</v>
      </c>
      <c r="I125" s="6" t="n">
        <v>89.44</v>
      </c>
      <c r="J125" s="6" t="n">
        <v>77.44</v>
      </c>
    </row>
    <row collapsed="false" customFormat="false" customHeight="false" hidden="false" ht="12.1" outlineLevel="0" r="126">
      <c r="A126" s="39" t="n">
        <v>45596</v>
      </c>
      <c r="B126" s="2" t="s">
        <v>803</v>
      </c>
      <c r="C126" s="2" t="s">
        <v>221</v>
      </c>
      <c r="D126" s="2" t="s">
        <v>222</v>
      </c>
      <c r="E126" s="6" t="n">
        <v>788.04</v>
      </c>
      <c r="F126" s="7" t="n">
        <v>7</v>
      </c>
      <c r="G126" s="6" t="n">
        <v>5.35</v>
      </c>
      <c r="H126" s="6" t="n">
        <v>5</v>
      </c>
      <c r="I126" s="6" t="n">
        <v>37.45</v>
      </c>
      <c r="J126" s="6" t="n">
        <v>32.45</v>
      </c>
    </row>
    <row collapsed="false" customFormat="false" customHeight="false" hidden="false" ht="12.1" outlineLevel="0" r="127">
      <c r="A127" s="39" t="n">
        <v>45596</v>
      </c>
      <c r="B127" s="2" t="s">
        <v>803</v>
      </c>
      <c r="C127" s="2" t="s">
        <v>188</v>
      </c>
      <c r="D127" s="2" t="s">
        <v>189</v>
      </c>
      <c r="E127" s="6" t="n">
        <v>1000</v>
      </c>
      <c r="F127" s="7" t="n">
        <v>7</v>
      </c>
      <c r="G127" s="6" t="n">
        <v>11.26</v>
      </c>
      <c r="H127" s="6" t="n">
        <v>10</v>
      </c>
      <c r="I127" s="6" t="n">
        <v>78.82</v>
      </c>
      <c r="J127" s="6" t="n">
        <v>68.82</v>
      </c>
    </row>
    <row collapsed="false" customFormat="false" customHeight="false" hidden="false" ht="12.1" outlineLevel="0" r="128">
      <c r="A128" s="39" t="n">
        <v>45597</v>
      </c>
      <c r="B128" s="2" t="s">
        <v>803</v>
      </c>
      <c r="C128" s="2" t="s">
        <v>233</v>
      </c>
      <c r="D128" s="2" t="s">
        <v>234</v>
      </c>
      <c r="E128" s="6" t="n">
        <v>532.06</v>
      </c>
      <c r="F128" s="7" t="n">
        <v>10</v>
      </c>
      <c r="G128" s="6" t="n">
        <v>4.97</v>
      </c>
      <c r="H128" s="6" t="n">
        <v>6</v>
      </c>
      <c r="I128" s="6" t="n">
        <v>49.7</v>
      </c>
      <c r="J128" s="6" t="n">
        <v>43.7</v>
      </c>
    </row>
    <row collapsed="false" customFormat="false" customHeight="false" hidden="false" ht="12.1" outlineLevel="0" r="129">
      <c r="A129" s="39" t="n">
        <v>45601</v>
      </c>
      <c r="B129" s="2" t="s">
        <v>803</v>
      </c>
      <c r="C129" s="2" t="s">
        <v>545</v>
      </c>
      <c r="D129" s="2" t="s">
        <v>810</v>
      </c>
      <c r="E129" s="6" t="n">
        <v>1000</v>
      </c>
      <c r="F129" s="7" t="n">
        <v>2</v>
      </c>
      <c r="G129" s="6" t="n">
        <v>10.68</v>
      </c>
      <c r="H129" s="6" t="n">
        <v>3</v>
      </c>
      <c r="I129" s="6" t="n">
        <v>21.36</v>
      </c>
      <c r="J129" s="6" t="n">
        <v>18.36</v>
      </c>
    </row>
    <row collapsed="false" customFormat="false" customHeight="false" hidden="false" ht="12.1" outlineLevel="0" r="130">
      <c r="A130" s="39" t="n">
        <v>45604</v>
      </c>
      <c r="B130" s="2" t="s">
        <v>803</v>
      </c>
      <c r="C130" s="2" t="s">
        <v>541</v>
      </c>
      <c r="D130" s="2" t="s">
        <v>809</v>
      </c>
      <c r="E130" s="6" t="n">
        <v>1000</v>
      </c>
      <c r="F130" s="7" t="n">
        <v>3</v>
      </c>
      <c r="G130" s="6" t="n">
        <v>13.36</v>
      </c>
      <c r="H130" s="6" t="n">
        <v>5</v>
      </c>
      <c r="I130" s="6" t="n">
        <v>40.08</v>
      </c>
      <c r="J130" s="6" t="n">
        <v>35.08</v>
      </c>
    </row>
    <row collapsed="false" customFormat="false" customHeight="false" hidden="false" ht="12.1" outlineLevel="0" r="131">
      <c r="A131" s="39" t="n">
        <v>45605</v>
      </c>
      <c r="B131" s="2" t="s">
        <v>803</v>
      </c>
      <c r="C131" s="2" t="s">
        <v>194</v>
      </c>
      <c r="D131" s="2" t="s">
        <v>195</v>
      </c>
      <c r="E131" s="6" t="n">
        <v>1000</v>
      </c>
      <c r="F131" s="7" t="n">
        <v>10</v>
      </c>
      <c r="G131" s="6" t="n">
        <v>13.15</v>
      </c>
      <c r="H131" s="6" t="n">
        <v>17</v>
      </c>
      <c r="I131" s="6" t="n">
        <v>131.5</v>
      </c>
      <c r="J131" s="6" t="n">
        <v>114.5</v>
      </c>
    </row>
    <row collapsed="false" customFormat="false" customHeight="false" hidden="false" ht="12.1" outlineLevel="0" r="132">
      <c r="A132" s="39" t="n">
        <v>45608</v>
      </c>
      <c r="B132" s="2" t="s">
        <v>803</v>
      </c>
      <c r="C132" s="2" t="s">
        <v>179</v>
      </c>
      <c r="D132" s="2" t="s">
        <v>180</v>
      </c>
      <c r="E132" s="6" t="n">
        <v>1000</v>
      </c>
      <c r="F132" s="7" t="n">
        <v>10</v>
      </c>
      <c r="G132" s="6" t="n">
        <v>35.65</v>
      </c>
      <c r="H132" s="6" t="n">
        <v>46</v>
      </c>
      <c r="I132" s="6" t="n">
        <v>356.5</v>
      </c>
      <c r="J132" s="6" t="n">
        <v>310.5</v>
      </c>
    </row>
    <row collapsed="false" customFormat="false" customHeight="false" hidden="false" ht="12.1" outlineLevel="0" r="133">
      <c r="A133" s="39" t="n">
        <v>45609</v>
      </c>
      <c r="B133" s="2" t="s">
        <v>803</v>
      </c>
      <c r="C133" s="2" t="s">
        <v>215</v>
      </c>
      <c r="D133" s="2" t="s">
        <v>216</v>
      </c>
      <c r="E133" s="6" t="n">
        <v>1000</v>
      </c>
      <c r="F133" s="7" t="n">
        <v>5</v>
      </c>
      <c r="G133" s="6" t="n">
        <v>39.89</v>
      </c>
      <c r="H133" s="6" t="n">
        <v>26</v>
      </c>
      <c r="I133" s="6" t="n">
        <v>199.45</v>
      </c>
      <c r="J133" s="6" t="n">
        <v>173.45</v>
      </c>
    </row>
    <row collapsed="false" customFormat="false" customHeight="false" hidden="false" ht="12.1" outlineLevel="0" r="134">
      <c r="A134" s="39" t="n">
        <v>45614</v>
      </c>
      <c r="B134" s="2" t="s">
        <v>803</v>
      </c>
      <c r="C134" s="2" t="s">
        <v>230</v>
      </c>
      <c r="D134" s="2" t="s">
        <v>231</v>
      </c>
      <c r="E134" s="6" t="n">
        <v>1000</v>
      </c>
      <c r="F134" s="7" t="n">
        <v>2</v>
      </c>
      <c r="G134" s="6" t="n">
        <v>73.64</v>
      </c>
      <c r="H134" s="6" t="n">
        <v>19</v>
      </c>
      <c r="I134" s="6" t="n">
        <v>147.28</v>
      </c>
      <c r="J134" s="6" t="n">
        <v>128.28</v>
      </c>
    </row>
    <row collapsed="false" customFormat="false" customHeight="false" hidden="false" ht="12.1" outlineLevel="0" r="135">
      <c r="A135" s="39" t="n">
        <v>45614</v>
      </c>
      <c r="B135" s="2" t="s">
        <v>803</v>
      </c>
      <c r="C135" s="2" t="s">
        <v>544</v>
      </c>
      <c r="D135" s="2" t="s">
        <v>811</v>
      </c>
      <c r="E135" s="6" t="n">
        <v>1000</v>
      </c>
      <c r="F135" s="7" t="n">
        <v>2</v>
      </c>
      <c r="G135" s="6" t="n">
        <v>47.37</v>
      </c>
      <c r="H135" s="6" t="n">
        <v>12</v>
      </c>
      <c r="I135" s="6" t="n">
        <v>94.74</v>
      </c>
      <c r="J135" s="6" t="n">
        <v>82.74</v>
      </c>
    </row>
    <row collapsed="false" customFormat="false" customHeight="false" hidden="false" ht="12.1" outlineLevel="0" r="136">
      <c r="A136" s="39" t="n">
        <v>45615</v>
      </c>
      <c r="B136" s="2" t="s">
        <v>803</v>
      </c>
      <c r="C136" s="2" t="s">
        <v>203</v>
      </c>
      <c r="D136" s="2" t="s">
        <v>204</v>
      </c>
      <c r="E136" s="6" t="n">
        <v>1000</v>
      </c>
      <c r="F136" s="7" t="n">
        <v>5</v>
      </c>
      <c r="G136" s="6" t="n">
        <v>34.16</v>
      </c>
      <c r="H136" s="6" t="n">
        <v>22</v>
      </c>
      <c r="I136" s="6" t="n">
        <v>170.8</v>
      </c>
      <c r="J136" s="6" t="n">
        <v>148.8</v>
      </c>
    </row>
    <row collapsed="false" customFormat="false" customHeight="false" hidden="false" ht="12.1" outlineLevel="0" r="137">
      <c r="A137" s="39" t="n">
        <v>45615</v>
      </c>
      <c r="B137" s="2" t="s">
        <v>803</v>
      </c>
      <c r="C137" s="2" t="s">
        <v>170</v>
      </c>
      <c r="D137" s="2" t="s">
        <v>171</v>
      </c>
      <c r="E137" s="6" t="n">
        <v>1000</v>
      </c>
      <c r="F137" s="7" t="n">
        <v>19</v>
      </c>
      <c r="G137" s="6" t="n">
        <v>32.16</v>
      </c>
      <c r="H137" s="6" t="n">
        <v>79</v>
      </c>
      <c r="I137" s="6" t="n">
        <v>611.04</v>
      </c>
      <c r="J137" s="6" t="n">
        <v>532.04</v>
      </c>
    </row>
    <row collapsed="false" customFormat="false" customHeight="false" hidden="false" ht="12.1" outlineLevel="0" r="138">
      <c r="A138" s="39" t="n">
        <v>45615</v>
      </c>
      <c r="B138" s="2" t="s">
        <v>803</v>
      </c>
      <c r="C138" s="2" t="s">
        <v>185</v>
      </c>
      <c r="D138" s="2" t="s">
        <v>186</v>
      </c>
      <c r="E138" s="6" t="n">
        <v>1000</v>
      </c>
      <c r="F138" s="7" t="n">
        <v>10</v>
      </c>
      <c r="G138" s="6" t="n">
        <v>28.42</v>
      </c>
      <c r="H138" s="6" t="n">
        <v>37</v>
      </c>
      <c r="I138" s="6" t="n">
        <v>284.2</v>
      </c>
      <c r="J138" s="6" t="n">
        <v>247.2</v>
      </c>
    </row>
    <row collapsed="false" customFormat="false" customHeight="false" hidden="false" ht="12.1" outlineLevel="0" r="139">
      <c r="A139" s="39" t="n">
        <v>45619</v>
      </c>
      <c r="B139" s="2" t="s">
        <v>803</v>
      </c>
      <c r="C139" s="2" t="s">
        <v>155</v>
      </c>
      <c r="D139" s="2" t="s">
        <v>156</v>
      </c>
      <c r="E139" s="6" t="n">
        <v>1000</v>
      </c>
      <c r="F139" s="7" t="n">
        <v>8</v>
      </c>
      <c r="G139" s="6" t="n">
        <v>11.18</v>
      </c>
      <c r="H139" s="6" t="n">
        <v>12</v>
      </c>
      <c r="I139" s="6" t="n">
        <v>89.44</v>
      </c>
      <c r="J139" s="6" t="n">
        <v>77.44</v>
      </c>
    </row>
    <row collapsed="false" customFormat="false" customHeight="false" hidden="false" ht="12.1" outlineLevel="0" r="140">
      <c r="A140" s="39" t="n">
        <v>45620</v>
      </c>
      <c r="B140" s="2" t="s">
        <v>803</v>
      </c>
      <c r="C140" s="2" t="s">
        <v>197</v>
      </c>
      <c r="D140" s="2" t="s">
        <v>198</v>
      </c>
      <c r="E140" s="6" t="n">
        <v>1000</v>
      </c>
      <c r="F140" s="7" t="n">
        <v>5</v>
      </c>
      <c r="G140" s="6" t="n">
        <v>18.32</v>
      </c>
      <c r="H140" s="6" t="n">
        <v>12</v>
      </c>
      <c r="I140" s="6" t="n">
        <v>91.6</v>
      </c>
      <c r="J140" s="6" t="n">
        <v>79.6</v>
      </c>
    </row>
    <row collapsed="false" customFormat="false" customHeight="false" hidden="false" ht="12.1" outlineLevel="0" r="141">
      <c r="A141" s="39" t="n">
        <v>45622</v>
      </c>
      <c r="B141" s="2" t="s">
        <v>803</v>
      </c>
      <c r="C141" s="2" t="s">
        <v>161</v>
      </c>
      <c r="D141" s="2" t="s">
        <v>162</v>
      </c>
      <c r="E141" s="6" t="n">
        <v>1000</v>
      </c>
      <c r="F141" s="7" t="n">
        <v>34</v>
      </c>
      <c r="G141" s="6" t="n">
        <v>47.37</v>
      </c>
      <c r="H141" s="6" t="n">
        <v>209</v>
      </c>
      <c r="I141" s="6" t="n">
        <v>1610.58</v>
      </c>
      <c r="J141" s="6" t="n">
        <v>1401.58</v>
      </c>
    </row>
    <row collapsed="false" customFormat="false" customHeight="false" hidden="false" ht="12.1" outlineLevel="0" r="142">
      <c r="A142" s="39" t="n">
        <v>45622</v>
      </c>
      <c r="B142" s="2" t="s">
        <v>803</v>
      </c>
      <c r="C142" s="2" t="s">
        <v>164</v>
      </c>
      <c r="D142" s="2" t="s">
        <v>165</v>
      </c>
      <c r="E142" s="6" t="n">
        <v>1000</v>
      </c>
      <c r="F142" s="7" t="n">
        <v>20</v>
      </c>
      <c r="G142" s="6" t="n">
        <v>65.78</v>
      </c>
      <c r="H142" s="6" t="n">
        <v>171</v>
      </c>
      <c r="I142" s="6" t="n">
        <v>1315.6</v>
      </c>
      <c r="J142" s="6" t="n">
        <v>1144.6</v>
      </c>
    </row>
    <row collapsed="false" customFormat="false" customHeight="false" hidden="false" ht="12.1" outlineLevel="0" r="143">
      <c r="A143" s="39" t="n">
        <v>45624</v>
      </c>
      <c r="B143" s="2" t="s">
        <v>803</v>
      </c>
      <c r="C143" s="2" t="s">
        <v>218</v>
      </c>
      <c r="D143" s="2" t="s">
        <v>219</v>
      </c>
      <c r="E143" s="6" t="n">
        <v>1000</v>
      </c>
      <c r="F143" s="7" t="n">
        <v>3</v>
      </c>
      <c r="G143" s="6" t="n">
        <v>24.81</v>
      </c>
      <c r="H143" s="6" t="n">
        <v>10</v>
      </c>
      <c r="I143" s="6" t="n">
        <v>74.43</v>
      </c>
      <c r="J143" s="6" t="n">
        <v>64.43</v>
      </c>
    </row>
    <row collapsed="false" customFormat="false" customHeight="false" hidden="false" ht="12.1" outlineLevel="0" r="144">
      <c r="A144" s="39" t="n">
        <v>45626</v>
      </c>
      <c r="B144" s="2" t="s">
        <v>803</v>
      </c>
      <c r="C144" s="2" t="s">
        <v>188</v>
      </c>
      <c r="D144" s="2" t="s">
        <v>189</v>
      </c>
      <c r="E144" s="6" t="n">
        <v>1000</v>
      </c>
      <c r="F144" s="7" t="n">
        <v>7</v>
      </c>
      <c r="G144" s="6" t="n">
        <v>11.26</v>
      </c>
      <c r="H144" s="6" t="n">
        <v>10</v>
      </c>
      <c r="I144" s="6" t="n">
        <v>78.82</v>
      </c>
      <c r="J144" s="6" t="n">
        <v>68.82</v>
      </c>
    </row>
    <row collapsed="false" customFormat="false" customHeight="false" hidden="false" ht="12.1" outlineLevel="0" r="145">
      <c r="A145" s="39" t="n">
        <v>45626</v>
      </c>
      <c r="B145" s="2" t="s">
        <v>803</v>
      </c>
      <c r="C145" s="2" t="s">
        <v>221</v>
      </c>
      <c r="D145" s="2" t="s">
        <v>222</v>
      </c>
      <c r="E145" s="6" t="n">
        <v>741.13</v>
      </c>
      <c r="F145" s="7" t="n">
        <v>7</v>
      </c>
      <c r="G145" s="6" t="n">
        <v>4.87</v>
      </c>
      <c r="H145" s="6" t="n">
        <v>4</v>
      </c>
      <c r="I145" s="6" t="n">
        <v>34.09</v>
      </c>
      <c r="J145" s="6" t="n">
        <v>30.09</v>
      </c>
    </row>
    <row collapsed="false" customFormat="false" customHeight="false" hidden="false" ht="12.1" outlineLevel="0" r="146">
      <c r="A146" s="39" t="n">
        <v>45627</v>
      </c>
      <c r="B146" s="2" t="s">
        <v>803</v>
      </c>
      <c r="C146" s="2" t="s">
        <v>233</v>
      </c>
      <c r="D146" s="2" t="s">
        <v>234</v>
      </c>
      <c r="E146" s="6" t="n">
        <v>496.03</v>
      </c>
      <c r="F146" s="7" t="n">
        <v>10</v>
      </c>
      <c r="G146" s="6" t="n">
        <v>4.48</v>
      </c>
      <c r="H146" s="6" t="n">
        <v>6</v>
      </c>
      <c r="I146" s="6" t="n">
        <v>44.8</v>
      </c>
      <c r="J146" s="6" t="n">
        <v>38.8</v>
      </c>
    </row>
    <row collapsed="false" customFormat="false" customHeight="false" hidden="false" ht="12.1" outlineLevel="0" r="147">
      <c r="A147" s="39" t="n">
        <v>45628</v>
      </c>
      <c r="B147" s="2" t="s">
        <v>803</v>
      </c>
      <c r="C147" s="2" t="s">
        <v>200</v>
      </c>
      <c r="D147" s="2" t="s">
        <v>201</v>
      </c>
      <c r="E147" s="6" t="n">
        <v>1000</v>
      </c>
      <c r="F147" s="7" t="n">
        <v>5</v>
      </c>
      <c r="G147" s="6" t="n">
        <v>56.1</v>
      </c>
      <c r="H147" s="6" t="n">
        <v>36</v>
      </c>
      <c r="I147" s="6" t="n">
        <v>280.5</v>
      </c>
      <c r="J147" s="6" t="n">
        <v>244.5</v>
      </c>
    </row>
    <row collapsed="false" customFormat="false" customHeight="false" hidden="false" ht="12.1" outlineLevel="0" r="148">
      <c r="A148" s="39" t="n">
        <v>45629</v>
      </c>
      <c r="B148" s="2" t="s">
        <v>803</v>
      </c>
      <c r="C148" s="2" t="s">
        <v>136</v>
      </c>
      <c r="D148" s="2" t="s">
        <v>138</v>
      </c>
      <c r="E148" s="6" t="n">
        <v>1000</v>
      </c>
      <c r="F148" s="7" t="n">
        <v>88</v>
      </c>
      <c r="G148" s="6" t="n">
        <v>35.4</v>
      </c>
      <c r="H148" s="6" t="n">
        <v>405</v>
      </c>
      <c r="I148" s="6" t="n">
        <v>3115.2</v>
      </c>
      <c r="J148" s="6" t="n">
        <v>2710.2</v>
      </c>
    </row>
    <row collapsed="false" customFormat="false" customHeight="false" hidden="false" ht="12.1" outlineLevel="0" r="149">
      <c r="A149" s="39" t="n">
        <v>45629</v>
      </c>
      <c r="B149" s="2" t="s">
        <v>803</v>
      </c>
      <c r="C149" s="2" t="s">
        <v>167</v>
      </c>
      <c r="D149" s="2" t="s">
        <v>168</v>
      </c>
      <c r="E149" s="6" t="n">
        <v>1000</v>
      </c>
      <c r="F149" s="7" t="n">
        <v>20</v>
      </c>
      <c r="G149" s="6" t="n">
        <v>68.13</v>
      </c>
      <c r="H149" s="6" t="n">
        <v>177</v>
      </c>
      <c r="I149" s="6" t="n">
        <v>1362.6</v>
      </c>
      <c r="J149" s="6" t="n">
        <v>1185.6</v>
      </c>
    </row>
    <row collapsed="false" customFormat="false" customHeight="false" hidden="false" ht="12.1" outlineLevel="0" r="150">
      <c r="A150" s="39" t="n">
        <v>45629</v>
      </c>
      <c r="B150" s="2" t="s">
        <v>803</v>
      </c>
      <c r="C150" s="2" t="s">
        <v>143</v>
      </c>
      <c r="D150" s="2" t="s">
        <v>144</v>
      </c>
      <c r="E150" s="6" t="n">
        <v>1000</v>
      </c>
      <c r="F150" s="7" t="n">
        <v>53</v>
      </c>
      <c r="G150" s="6" t="n">
        <v>48.87</v>
      </c>
      <c r="H150" s="6" t="n">
        <v>337</v>
      </c>
      <c r="I150" s="6" t="n">
        <v>2590.11</v>
      </c>
      <c r="J150" s="6" t="n">
        <v>2253.11</v>
      </c>
    </row>
    <row collapsed="false" customFormat="false" customHeight="false" hidden="false" ht="12.1" outlineLevel="0" r="151">
      <c r="A151" s="39" t="n">
        <v>45631</v>
      </c>
      <c r="B151" s="2" t="s">
        <v>803</v>
      </c>
      <c r="C151" s="2" t="s">
        <v>545</v>
      </c>
      <c r="D151" s="2" t="s">
        <v>810</v>
      </c>
      <c r="E151" s="6" t="n">
        <v>1000</v>
      </c>
      <c r="F151" s="7" t="n">
        <v>2</v>
      </c>
      <c r="G151" s="6" t="n">
        <v>10.68</v>
      </c>
      <c r="H151" s="6" t="n">
        <v>3</v>
      </c>
      <c r="I151" s="6" t="n">
        <v>21.36</v>
      </c>
      <c r="J151" s="6" t="n">
        <v>18.36</v>
      </c>
    </row>
    <row collapsed="false" customFormat="false" customHeight="false" hidden="false" ht="12.1" outlineLevel="0" r="152">
      <c r="A152" s="39" t="n">
        <v>45634</v>
      </c>
      <c r="B152" s="2" t="s">
        <v>803</v>
      </c>
      <c r="C152" s="2" t="s">
        <v>236</v>
      </c>
      <c r="D152" s="2" t="s">
        <v>237</v>
      </c>
      <c r="E152" s="6" t="n">
        <v>1000</v>
      </c>
      <c r="F152" s="7" t="n">
        <v>1</v>
      </c>
      <c r="G152" s="6" t="n">
        <v>81.78</v>
      </c>
      <c r="H152" s="6" t="n">
        <v>11</v>
      </c>
      <c r="I152" s="6" t="n">
        <v>81.78</v>
      </c>
      <c r="J152" s="6" t="n">
        <v>70.78</v>
      </c>
    </row>
    <row collapsed="false" customFormat="false" customHeight="false" hidden="false" ht="12.1" outlineLevel="0" r="153">
      <c r="A153" s="39" t="n">
        <v>45634</v>
      </c>
      <c r="B153" s="2" t="s">
        <v>803</v>
      </c>
      <c r="C153" s="2" t="s">
        <v>541</v>
      </c>
      <c r="D153" s="2" t="s">
        <v>809</v>
      </c>
      <c r="E153" s="6" t="n">
        <v>1000</v>
      </c>
      <c r="F153" s="7" t="n">
        <v>3</v>
      </c>
      <c r="G153" s="6" t="n">
        <v>13.36</v>
      </c>
      <c r="H153" s="6" t="n">
        <v>5</v>
      </c>
      <c r="I153" s="6" t="n">
        <v>40.08</v>
      </c>
      <c r="J153" s="6" t="n">
        <v>35.08</v>
      </c>
    </row>
    <row collapsed="false" customFormat="false" customHeight="false" hidden="false" ht="12.1" outlineLevel="0" r="154">
      <c r="A154" s="39" t="n">
        <v>45635</v>
      </c>
      <c r="B154" s="2" t="s">
        <v>803</v>
      </c>
      <c r="C154" s="2" t="s">
        <v>194</v>
      </c>
      <c r="D154" s="2" t="s">
        <v>195</v>
      </c>
      <c r="E154" s="6" t="n">
        <v>960</v>
      </c>
      <c r="F154" s="7" t="n">
        <v>10</v>
      </c>
      <c r="G154" s="6" t="n">
        <v>12.62</v>
      </c>
      <c r="H154" s="6" t="n">
        <v>16</v>
      </c>
      <c r="I154" s="6" t="n">
        <v>126.2</v>
      </c>
      <c r="J154" s="6" t="n">
        <v>110.2</v>
      </c>
    </row>
    <row collapsed="false" customFormat="false" customHeight="false" hidden="false" ht="12.1" outlineLevel="0" r="155">
      <c r="A155" s="39" t="n">
        <v>45636</v>
      </c>
      <c r="B155" s="2" t="s">
        <v>803</v>
      </c>
      <c r="C155" s="2" t="s">
        <v>242</v>
      </c>
      <c r="D155" s="2" t="s">
        <v>243</v>
      </c>
      <c r="E155" s="6" t="n">
        <v>640.33</v>
      </c>
      <c r="F155" s="7" t="n">
        <v>1</v>
      </c>
      <c r="G155" s="6" t="n">
        <v>31.13</v>
      </c>
      <c r="H155" s="6" t="n">
        <v>4</v>
      </c>
      <c r="I155" s="6" t="n">
        <v>31.13</v>
      </c>
      <c r="J155" s="6" t="n">
        <v>27.13</v>
      </c>
    </row>
    <row collapsed="false" customFormat="false" customHeight="false" hidden="false" ht="12.1" outlineLevel="0" r="156">
      <c r="A156" s="39" t="n">
        <v>45638</v>
      </c>
      <c r="B156" s="2" t="s">
        <v>803</v>
      </c>
      <c r="C156" s="2" t="s">
        <v>173</v>
      </c>
      <c r="D156" s="2" t="s">
        <v>174</v>
      </c>
      <c r="E156" s="6" t="n">
        <v>1000</v>
      </c>
      <c r="F156" s="7" t="n">
        <v>20</v>
      </c>
      <c r="G156" s="6" t="n">
        <v>17.83</v>
      </c>
      <c r="H156" s="6" t="n">
        <v>46</v>
      </c>
      <c r="I156" s="6" t="n">
        <v>356.6</v>
      </c>
      <c r="J156" s="6" t="n">
        <v>310.6</v>
      </c>
    </row>
    <row collapsed="false" customFormat="false" customHeight="false" hidden="false" ht="12.1" outlineLevel="0" r="157">
      <c r="A157" s="39" t="n">
        <v>45649</v>
      </c>
      <c r="B157" s="2" t="s">
        <v>803</v>
      </c>
      <c r="C157" s="2" t="s">
        <v>155</v>
      </c>
      <c r="D157" s="2" t="s">
        <v>156</v>
      </c>
      <c r="E157" s="6" t="n">
        <v>1000</v>
      </c>
      <c r="F157" s="7" t="n">
        <v>8</v>
      </c>
      <c r="G157" s="6" t="n">
        <v>11.18</v>
      </c>
      <c r="H157" s="6" t="n">
        <v>12</v>
      </c>
      <c r="I157" s="6" t="n">
        <v>89.44</v>
      </c>
      <c r="J157" s="6" t="n">
        <v>77.44</v>
      </c>
    </row>
    <row collapsed="false" customFormat="false" customHeight="false" hidden="false" ht="12.1" outlineLevel="0" r="158">
      <c r="A158" s="39" t="n">
        <v>45649</v>
      </c>
      <c r="B158" s="2" t="s">
        <v>803</v>
      </c>
      <c r="C158" s="2" t="s">
        <v>224</v>
      </c>
      <c r="D158" s="2" t="s">
        <v>225</v>
      </c>
      <c r="E158" s="6" t="n">
        <v>1000</v>
      </c>
      <c r="F158" s="7" t="n">
        <v>2</v>
      </c>
      <c r="G158" s="6" t="n">
        <v>31.66</v>
      </c>
      <c r="H158" s="6" t="n">
        <v>8</v>
      </c>
      <c r="I158" s="6" t="n">
        <v>63.32</v>
      </c>
      <c r="J158" s="6" t="n">
        <v>55.32</v>
      </c>
    </row>
    <row collapsed="false" customFormat="false" customHeight="false" hidden="false" ht="12.1" outlineLevel="0" r="159">
      <c r="A159" s="39" t="n">
        <v>45656</v>
      </c>
      <c r="B159" s="2" t="s">
        <v>803</v>
      </c>
      <c r="C159" s="2" t="s">
        <v>188</v>
      </c>
      <c r="D159" s="2" t="s">
        <v>189</v>
      </c>
      <c r="E159" s="6" t="n">
        <v>1000</v>
      </c>
      <c r="F159" s="7" t="n">
        <v>7</v>
      </c>
      <c r="G159" s="6" t="n">
        <v>11.26</v>
      </c>
      <c r="H159" s="6" t="n">
        <v>10</v>
      </c>
      <c r="I159" s="6" t="n">
        <v>78.82</v>
      </c>
      <c r="J159" s="6" t="n">
        <v>68.82</v>
      </c>
    </row>
    <row collapsed="false" customFormat="false" customHeight="false" hidden="false" ht="12.1" outlineLevel="0" r="160">
      <c r="A160" s="39" t="n">
        <v>45657</v>
      </c>
      <c r="B160" s="2" t="s">
        <v>803</v>
      </c>
      <c r="C160" s="2" t="s">
        <v>221</v>
      </c>
      <c r="D160" s="2" t="s">
        <v>222</v>
      </c>
      <c r="E160" s="6" t="n">
        <v>695.61</v>
      </c>
      <c r="F160" s="7" t="n">
        <v>7</v>
      </c>
      <c r="G160" s="6" t="n">
        <v>4.73</v>
      </c>
      <c r="H160" s="6" t="n">
        <v>4</v>
      </c>
      <c r="I160" s="6" t="n">
        <v>33.11</v>
      </c>
      <c r="J160" s="6" t="n">
        <v>29.11</v>
      </c>
    </row>
    <row collapsed="false" customFormat="false" customHeight="false" hidden="false" ht="12.1" outlineLevel="0" r="161">
      <c r="A161" s="39" t="n">
        <v>45658</v>
      </c>
      <c r="B161" s="2" t="s">
        <v>803</v>
      </c>
      <c r="C161" s="2" t="s">
        <v>233</v>
      </c>
      <c r="D161" s="2" t="s">
        <v>234</v>
      </c>
      <c r="E161" s="6" t="n">
        <v>459.65999999999997</v>
      </c>
      <c r="F161" s="7" t="n">
        <v>10</v>
      </c>
      <c r="G161" s="6" t="n">
        <v>4.29</v>
      </c>
      <c r="H161" s="6" t="n">
        <v>6</v>
      </c>
      <c r="I161" s="6" t="n">
        <v>42.9</v>
      </c>
      <c r="J161" s="6" t="n">
        <v>36.9</v>
      </c>
    </row>
    <row collapsed="false" customFormat="false" customHeight="false" hidden="false" ht="12.1" outlineLevel="0" r="162">
      <c r="A162" s="39" t="n">
        <v>45658</v>
      </c>
      <c r="B162" s="2" t="s">
        <v>803</v>
      </c>
      <c r="C162" s="2" t="s">
        <v>212</v>
      </c>
      <c r="D162" s="2" t="s">
        <v>213</v>
      </c>
      <c r="E162" s="6" t="n">
        <v>1000</v>
      </c>
      <c r="F162" s="7" t="n">
        <v>4</v>
      </c>
      <c r="G162" s="6" t="n">
        <v>29.42</v>
      </c>
      <c r="H162" s="6" t="n">
        <v>15</v>
      </c>
      <c r="I162" s="6" t="n">
        <v>117.68</v>
      </c>
      <c r="J162" s="6" t="n">
        <v>102.68</v>
      </c>
    </row>
    <row collapsed="false" customFormat="false" customHeight="false" hidden="false" ht="12.1" outlineLevel="0" r="163">
      <c r="A163" s="39" t="n">
        <v>45661</v>
      </c>
      <c r="B163" s="2" t="s">
        <v>803</v>
      </c>
      <c r="C163" s="2" t="s">
        <v>545</v>
      </c>
      <c r="D163" s="2" t="s">
        <v>810</v>
      </c>
      <c r="E163" s="6" t="n">
        <v>1000</v>
      </c>
      <c r="F163" s="7" t="n">
        <v>2</v>
      </c>
      <c r="G163" s="6" t="n">
        <v>10.68</v>
      </c>
      <c r="H163" s="6" t="n">
        <v>3</v>
      </c>
      <c r="I163" s="6" t="n">
        <v>21.36</v>
      </c>
      <c r="J163" s="6" t="n">
        <v>18.36</v>
      </c>
    </row>
    <row collapsed="false" customFormat="false" customHeight="false" hidden="false" ht="12.1" outlineLevel="0" r="164">
      <c r="A164" s="39" t="n">
        <v>45663</v>
      </c>
      <c r="B164" s="2" t="s">
        <v>803</v>
      </c>
      <c r="C164" s="2" t="s">
        <v>542</v>
      </c>
      <c r="D164" s="2" t="s">
        <v>808</v>
      </c>
      <c r="E164" s="6" t="n">
        <v>1000</v>
      </c>
      <c r="F164" s="7" t="n">
        <v>2</v>
      </c>
      <c r="G164" s="6" t="n">
        <v>44.88</v>
      </c>
      <c r="H164" s="6" t="n">
        <v>12</v>
      </c>
      <c r="I164" s="6" t="n">
        <v>89.76</v>
      </c>
      <c r="J164" s="6" t="n">
        <v>77.76</v>
      </c>
    </row>
    <row collapsed="false" customFormat="false" customHeight="false" hidden="false" ht="12.1" outlineLevel="0" r="165">
      <c r="A165" s="39" t="n">
        <v>45665</v>
      </c>
      <c r="B165" s="2" t="s">
        <v>803</v>
      </c>
      <c r="C165" s="2" t="s">
        <v>194</v>
      </c>
      <c r="D165" s="2" t="s">
        <v>195</v>
      </c>
      <c r="E165" s="6" t="n">
        <v>920</v>
      </c>
      <c r="F165" s="7" t="n">
        <v>10</v>
      </c>
      <c r="G165" s="6" t="n">
        <v>12.1</v>
      </c>
      <c r="H165" s="6" t="n">
        <v>16</v>
      </c>
      <c r="I165" s="6" t="n">
        <v>121</v>
      </c>
      <c r="J165" s="6" t="n">
        <v>105</v>
      </c>
    </row>
    <row collapsed="false" customFormat="false" customHeight="false" hidden="false" ht="12.1" outlineLevel="0" r="166">
      <c r="A166" s="39" t="n">
        <v>45666</v>
      </c>
      <c r="B166" s="2" t="s">
        <v>803</v>
      </c>
      <c r="C166" s="2" t="s">
        <v>550</v>
      </c>
      <c r="D166" s="2" t="s">
        <v>813</v>
      </c>
      <c r="E166" s="6" t="n">
        <v>1000</v>
      </c>
      <c r="F166" s="7" t="n">
        <v>5</v>
      </c>
      <c r="G166" s="6" t="n">
        <v>33.03</v>
      </c>
      <c r="H166" s="6" t="n">
        <v>21</v>
      </c>
      <c r="I166" s="6" t="n">
        <v>165.15</v>
      </c>
      <c r="J166" s="6" t="n">
        <v>144.15</v>
      </c>
    </row>
    <row collapsed="false" customFormat="false" customHeight="false" hidden="false" ht="12.1" outlineLevel="0" r="167">
      <c r="A167" s="39" t="n">
        <v>45679</v>
      </c>
      <c r="B167" s="2" t="s">
        <v>803</v>
      </c>
      <c r="C167" s="2" t="s">
        <v>209</v>
      </c>
      <c r="D167" s="2" t="s">
        <v>210</v>
      </c>
      <c r="E167" s="6" t="n">
        <v>1000</v>
      </c>
      <c r="F167" s="7" t="n">
        <v>4</v>
      </c>
      <c r="G167" s="6" t="n">
        <v>44.88</v>
      </c>
      <c r="H167" s="6" t="n">
        <v>23</v>
      </c>
      <c r="I167" s="6" t="n">
        <v>179.52</v>
      </c>
      <c r="J167" s="6" t="n">
        <v>156.52</v>
      </c>
    </row>
    <row collapsed="false" customFormat="false" customHeight="false" hidden="false" ht="12.1" outlineLevel="0" r="168">
      <c r="A168" s="39" t="n">
        <v>45679</v>
      </c>
      <c r="B168" s="2" t="s">
        <v>803</v>
      </c>
      <c r="C168" s="2" t="s">
        <v>155</v>
      </c>
      <c r="D168" s="2" t="s">
        <v>156</v>
      </c>
      <c r="E168" s="6" t="n">
        <v>1000</v>
      </c>
      <c r="F168" s="7" t="n">
        <v>8</v>
      </c>
      <c r="G168" s="6" t="n">
        <v>11.18</v>
      </c>
      <c r="H168" s="6" t="n">
        <v>12</v>
      </c>
      <c r="I168" s="6" t="n">
        <v>89.44</v>
      </c>
      <c r="J168" s="6" t="n">
        <v>77.44</v>
      </c>
    </row>
    <row collapsed="false" customFormat="false" customHeight="false" hidden="false" ht="12.1" outlineLevel="0" r="169">
      <c r="A169" s="39" t="n">
        <v>45679</v>
      </c>
      <c r="B169" s="2" t="s">
        <v>803</v>
      </c>
      <c r="C169" s="2" t="s">
        <v>182</v>
      </c>
      <c r="D169" s="2" t="s">
        <v>183</v>
      </c>
      <c r="E169" s="6" t="n">
        <v>1000</v>
      </c>
      <c r="F169" s="7" t="n">
        <v>12</v>
      </c>
      <c r="G169" s="6" t="n">
        <v>16.83</v>
      </c>
      <c r="H169" s="6" t="n">
        <v>26</v>
      </c>
      <c r="I169" s="6" t="n">
        <v>201.96</v>
      </c>
      <c r="J169" s="6" t="n">
        <v>175.96</v>
      </c>
    </row>
    <row collapsed="false" customFormat="false" customHeight="false" hidden="false" ht="12.1" outlineLevel="0" r="170">
      <c r="A170" s="39" t="n">
        <v>45686</v>
      </c>
      <c r="B170" s="2" t="s">
        <v>803</v>
      </c>
      <c r="C170" s="2" t="s">
        <v>188</v>
      </c>
      <c r="D170" s="2" t="s">
        <v>189</v>
      </c>
      <c r="E170" s="6" t="n">
        <v>1000</v>
      </c>
      <c r="F170" s="7" t="n">
        <v>7</v>
      </c>
      <c r="G170" s="6" t="n">
        <v>11.26</v>
      </c>
      <c r="H170" s="6" t="n">
        <v>10</v>
      </c>
      <c r="I170" s="6" t="n">
        <v>78.82</v>
      </c>
      <c r="J170" s="6" t="n">
        <v>68.82</v>
      </c>
    </row>
    <row collapsed="false" customFormat="false" customHeight="false" hidden="false" ht="12.1" outlineLevel="0" r="171">
      <c r="A171" s="39" t="n">
        <v>45687</v>
      </c>
      <c r="B171" s="2" t="s">
        <v>803</v>
      </c>
      <c r="C171" s="2" t="s">
        <v>191</v>
      </c>
      <c r="D171" s="2" t="s">
        <v>192</v>
      </c>
      <c r="E171" s="6" t="n">
        <v>1000</v>
      </c>
      <c r="F171" s="7" t="n">
        <v>5</v>
      </c>
      <c r="G171" s="6" t="n">
        <v>39.89</v>
      </c>
      <c r="H171" s="6" t="n">
        <v>26</v>
      </c>
      <c r="I171" s="6" t="n">
        <v>199.45</v>
      </c>
      <c r="J171" s="6" t="n">
        <v>173.45</v>
      </c>
    </row>
    <row collapsed="false" customFormat="false" customHeight="false" hidden="false" ht="12.1" outlineLevel="0" r="172">
      <c r="A172" s="39" t="n">
        <v>45688</v>
      </c>
      <c r="B172" s="2" t="s">
        <v>803</v>
      </c>
      <c r="C172" s="2" t="s">
        <v>221</v>
      </c>
      <c r="D172" s="2" t="s">
        <v>222</v>
      </c>
      <c r="E172" s="6" t="n">
        <v>648.33</v>
      </c>
      <c r="F172" s="7" t="n">
        <v>7</v>
      </c>
      <c r="G172" s="6" t="n">
        <v>4.41</v>
      </c>
      <c r="H172" s="6" t="n">
        <v>4</v>
      </c>
      <c r="I172" s="6" t="n">
        <v>30.87</v>
      </c>
      <c r="J172" s="6" t="n">
        <v>26.87</v>
      </c>
    </row>
    <row collapsed="false" customFormat="false" customHeight="false" hidden="false" ht="12.1" outlineLevel="0" r="173">
      <c r="A173" s="39" t="n">
        <v>45689</v>
      </c>
      <c r="B173" s="2" t="s">
        <v>803</v>
      </c>
      <c r="C173" s="2" t="s">
        <v>233</v>
      </c>
      <c r="D173" s="2" t="s">
        <v>234</v>
      </c>
      <c r="E173" s="6" t="n">
        <v>423.68</v>
      </c>
      <c r="F173" s="7" t="n">
        <v>10</v>
      </c>
      <c r="G173" s="6" t="n">
        <v>3.96</v>
      </c>
      <c r="H173" s="6" t="n">
        <v>5</v>
      </c>
      <c r="I173" s="6" t="n">
        <v>39.6</v>
      </c>
      <c r="J173" s="6" t="n">
        <v>34.6</v>
      </c>
    </row>
    <row collapsed="false" customFormat="false" customHeight="false" hidden="false" ht="12.1" outlineLevel="0" r="174">
      <c r="A174" s="39" t="n">
        <v>45691</v>
      </c>
      <c r="B174" s="2" t="s">
        <v>803</v>
      </c>
      <c r="C174" s="2" t="s">
        <v>545</v>
      </c>
      <c r="D174" s="2" t="s">
        <v>810</v>
      </c>
      <c r="E174" s="6" t="n">
        <v>1000</v>
      </c>
      <c r="F174" s="7" t="n">
        <v>2</v>
      </c>
      <c r="G174" s="6" t="n">
        <v>10.68</v>
      </c>
      <c r="H174" s="6" t="n">
        <v>3</v>
      </c>
      <c r="I174" s="6" t="n">
        <v>21.36</v>
      </c>
      <c r="J174" s="6" t="n">
        <v>18.36</v>
      </c>
    </row>
    <row collapsed="false" customFormat="false" customHeight="false" hidden="false" ht="12.1" outlineLevel="0" r="175">
      <c r="A175" s="39" t="n">
        <v>45695</v>
      </c>
      <c r="B175" s="2" t="s">
        <v>803</v>
      </c>
      <c r="C175" s="2" t="s">
        <v>194</v>
      </c>
      <c r="D175" s="2" t="s">
        <v>195</v>
      </c>
      <c r="E175" s="6" t="n">
        <v>880</v>
      </c>
      <c r="F175" s="7" t="n">
        <v>10</v>
      </c>
      <c r="G175" s="6" t="n">
        <v>11.57</v>
      </c>
      <c r="H175" s="6" t="n">
        <v>15</v>
      </c>
      <c r="I175" s="6" t="n">
        <v>115.7</v>
      </c>
      <c r="J175" s="6" t="n">
        <v>100.7</v>
      </c>
    </row>
    <row collapsed="false" customFormat="false" customHeight="false" hidden="false" ht="12.1" outlineLevel="0" r="176">
      <c r="A176" s="39" t="n">
        <v>45699</v>
      </c>
      <c r="B176" s="2" t="s">
        <v>803</v>
      </c>
      <c r="C176" s="2" t="s">
        <v>140</v>
      </c>
      <c r="D176" s="2" t="s">
        <v>141</v>
      </c>
      <c r="E176" s="6" t="n">
        <v>1000</v>
      </c>
      <c r="F176" s="7" t="n">
        <v>80</v>
      </c>
      <c r="G176" s="6" t="n">
        <v>34.9</v>
      </c>
      <c r="H176" s="6" t="n">
        <v>363</v>
      </c>
      <c r="I176" s="6" t="n">
        <v>2792</v>
      </c>
      <c r="J176" s="6" t="n">
        <v>2429</v>
      </c>
    </row>
    <row collapsed="false" customFormat="false" customHeight="false" hidden="false" ht="12.1" outlineLevel="0" r="177">
      <c r="A177" s="39" t="n">
        <v>45700</v>
      </c>
      <c r="B177" s="2" t="s">
        <v>803</v>
      </c>
      <c r="C177" s="2" t="s">
        <v>215</v>
      </c>
      <c r="D177" s="2" t="s">
        <v>216</v>
      </c>
      <c r="E177" s="6" t="n">
        <v>900</v>
      </c>
      <c r="F177" s="7" t="n">
        <v>5</v>
      </c>
      <c r="G177" s="6" t="n">
        <v>35.9</v>
      </c>
      <c r="H177" s="6" t="n">
        <v>23</v>
      </c>
      <c r="I177" s="6" t="n">
        <v>179.5</v>
      </c>
      <c r="J177" s="6" t="n">
        <v>156.5</v>
      </c>
    </row>
    <row collapsed="false" customFormat="false" customHeight="false" hidden="false" ht="12.1" outlineLevel="0" r="178">
      <c r="A178" s="39" t="n">
        <v>45701</v>
      </c>
      <c r="B178" s="2" t="s">
        <v>803</v>
      </c>
      <c r="C178" s="2" t="s">
        <v>227</v>
      </c>
      <c r="D178" s="2" t="s">
        <v>228</v>
      </c>
      <c r="E178" s="6" t="n">
        <v>1000</v>
      </c>
      <c r="F178" s="7" t="n">
        <v>2</v>
      </c>
      <c r="G178" s="6" t="n">
        <v>66.32</v>
      </c>
      <c r="H178" s="6" t="n">
        <v>17</v>
      </c>
      <c r="I178" s="6" t="n">
        <v>132.64</v>
      </c>
      <c r="J178" s="6" t="n">
        <v>115.64</v>
      </c>
    </row>
    <row collapsed="false" customFormat="false" customHeight="false" hidden="false" ht="12.1" outlineLevel="0" r="179">
      <c r="A179" s="39" t="n">
        <v>45705</v>
      </c>
      <c r="B179" s="2" t="s">
        <v>803</v>
      </c>
      <c r="C179" s="2" t="s">
        <v>544</v>
      </c>
      <c r="D179" s="2" t="s">
        <v>811</v>
      </c>
      <c r="E179" s="6" t="n">
        <v>1000</v>
      </c>
      <c r="F179" s="7" t="n">
        <v>2</v>
      </c>
      <c r="G179" s="6" t="n">
        <v>47.37</v>
      </c>
      <c r="H179" s="6" t="n">
        <v>12</v>
      </c>
      <c r="I179" s="6" t="n">
        <v>94.74</v>
      </c>
      <c r="J179" s="6" t="n">
        <v>82.74</v>
      </c>
    </row>
    <row collapsed="false" customFormat="false" customHeight="false" hidden="false" ht="12.1" outlineLevel="0" r="180">
      <c r="A180" s="39" t="n">
        <v>45706</v>
      </c>
      <c r="B180" s="2" t="s">
        <v>803</v>
      </c>
      <c r="C180" s="2" t="s">
        <v>170</v>
      </c>
      <c r="D180" s="2" t="s">
        <v>171</v>
      </c>
      <c r="E180" s="6" t="n">
        <v>1000</v>
      </c>
      <c r="F180" s="7" t="n">
        <v>19</v>
      </c>
      <c r="G180" s="6" t="n">
        <v>32.16</v>
      </c>
      <c r="H180" s="6" t="n">
        <v>79</v>
      </c>
      <c r="I180" s="6" t="n">
        <v>611.04</v>
      </c>
      <c r="J180" s="6" t="n">
        <v>532.04</v>
      </c>
    </row>
    <row collapsed="false" customFormat="false" customHeight="false" hidden="false" ht="12.1" outlineLevel="0" r="181">
      <c r="A181" s="39" t="n">
        <v>45706</v>
      </c>
      <c r="B181" s="2" t="s">
        <v>803</v>
      </c>
      <c r="C181" s="2" t="s">
        <v>203</v>
      </c>
      <c r="D181" s="2" t="s">
        <v>204</v>
      </c>
      <c r="E181" s="6" t="n">
        <v>1000</v>
      </c>
      <c r="F181" s="7" t="n">
        <v>5</v>
      </c>
      <c r="G181" s="6" t="n">
        <v>34.16</v>
      </c>
      <c r="H181" s="6" t="n">
        <v>22</v>
      </c>
      <c r="I181" s="6" t="n">
        <v>170.8</v>
      </c>
      <c r="J181" s="6" t="n">
        <v>148.8</v>
      </c>
    </row>
    <row collapsed="false" customFormat="false" customHeight="false" hidden="false" ht="12.1" outlineLevel="0" r="182">
      <c r="A182" s="39" t="n">
        <v>45709</v>
      </c>
      <c r="B182" s="2" t="s">
        <v>803</v>
      </c>
      <c r="C182" s="2" t="s">
        <v>155</v>
      </c>
      <c r="D182" s="2" t="s">
        <v>156</v>
      </c>
      <c r="E182" s="6" t="n">
        <v>1000</v>
      </c>
      <c r="F182" s="7" t="n">
        <v>8</v>
      </c>
      <c r="G182" s="6" t="n">
        <v>11.18</v>
      </c>
      <c r="H182" s="6" t="n">
        <v>12</v>
      </c>
      <c r="I182" s="6" t="n">
        <v>89.44</v>
      </c>
      <c r="J182" s="6" t="n">
        <v>77.44</v>
      </c>
    </row>
    <row collapsed="false" customFormat="false" customHeight="false" hidden="false" ht="12.1" outlineLevel="0" r="183">
      <c r="A183" s="39" t="n">
        <v>45711</v>
      </c>
      <c r="B183" s="2" t="s">
        <v>803</v>
      </c>
      <c r="C183" s="2" t="s">
        <v>197</v>
      </c>
      <c r="D183" s="2" t="s">
        <v>198</v>
      </c>
      <c r="E183" s="6" t="n">
        <v>1000</v>
      </c>
      <c r="F183" s="7" t="n">
        <v>5</v>
      </c>
      <c r="G183" s="6" t="n">
        <v>18.32</v>
      </c>
      <c r="H183" s="6" t="n">
        <v>12</v>
      </c>
      <c r="I183" s="6" t="n">
        <v>91.6</v>
      </c>
      <c r="J183" s="6" t="n">
        <v>79.6</v>
      </c>
    </row>
    <row collapsed="false" customFormat="false" customHeight="false" hidden="false" ht="12.1" outlineLevel="0" r="184">
      <c r="A184" s="39" t="n">
        <v>45715</v>
      </c>
      <c r="B184" s="2" t="s">
        <v>803</v>
      </c>
      <c r="C184" s="2" t="s">
        <v>218</v>
      </c>
      <c r="D184" s="2" t="s">
        <v>219</v>
      </c>
      <c r="E184" s="6" t="n">
        <v>1000</v>
      </c>
      <c r="F184" s="7" t="n">
        <v>3</v>
      </c>
      <c r="G184" s="6" t="n">
        <v>24.81</v>
      </c>
      <c r="H184" s="6" t="n">
        <v>10</v>
      </c>
      <c r="I184" s="6" t="n">
        <v>74.43</v>
      </c>
      <c r="J184" s="6" t="n">
        <v>64.43</v>
      </c>
    </row>
    <row collapsed="false" customFormat="false" customHeight="false" hidden="false" ht="12.1" outlineLevel="0" r="185">
      <c r="A185" s="39" t="n">
        <v>45716</v>
      </c>
      <c r="B185" s="2" t="s">
        <v>803</v>
      </c>
      <c r="C185" s="2" t="s">
        <v>221</v>
      </c>
      <c r="D185" s="2" t="s">
        <v>222</v>
      </c>
      <c r="E185" s="6" t="n">
        <v>605.76</v>
      </c>
      <c r="F185" s="7" t="n">
        <v>7</v>
      </c>
      <c r="G185" s="6" t="n">
        <v>3.72</v>
      </c>
      <c r="H185" s="6" t="n">
        <v>3</v>
      </c>
      <c r="I185" s="6" t="n">
        <v>26.04</v>
      </c>
      <c r="J185" s="6" t="n">
        <v>23.04</v>
      </c>
    </row>
    <row collapsed="false" customFormat="false" customHeight="false" hidden="false" ht="12.1" outlineLevel="0" r="186">
      <c r="A186" s="39" t="n">
        <v>45716</v>
      </c>
      <c r="B186" s="2" t="s">
        <v>803</v>
      </c>
      <c r="C186" s="2" t="s">
        <v>188</v>
      </c>
      <c r="D186" s="2" t="s">
        <v>189</v>
      </c>
      <c r="E186" s="6" t="n">
        <v>1000</v>
      </c>
      <c r="F186" s="7" t="n">
        <v>7</v>
      </c>
      <c r="G186" s="6" t="n">
        <v>11.26</v>
      </c>
      <c r="H186" s="6" t="n">
        <v>10</v>
      </c>
      <c r="I186" s="6" t="n">
        <v>78.82</v>
      </c>
      <c r="J186" s="6" t="n">
        <v>68.82</v>
      </c>
    </row>
    <row collapsed="false" customFormat="false" customHeight="false" hidden="false" ht="12.1" outlineLevel="0" r="187">
      <c r="A187" s="39" t="n">
        <v>45717</v>
      </c>
      <c r="B187" s="2" t="s">
        <v>803</v>
      </c>
      <c r="C187" s="2" t="s">
        <v>233</v>
      </c>
      <c r="D187" s="2" t="s">
        <v>234</v>
      </c>
      <c r="E187" s="6" t="n">
        <v>390.72</v>
      </c>
      <c r="F187" s="7" t="n">
        <v>10</v>
      </c>
      <c r="G187" s="6" t="n">
        <v>3.3</v>
      </c>
      <c r="H187" s="6" t="n">
        <v>4</v>
      </c>
      <c r="I187" s="6" t="n">
        <v>33</v>
      </c>
      <c r="J187" s="6" t="n">
        <v>29</v>
      </c>
    </row>
    <row collapsed="false" customFormat="false" customHeight="false" hidden="false" ht="12.1" outlineLevel="0" r="188">
      <c r="A188" s="39" t="n">
        <v>45720</v>
      </c>
      <c r="B188" s="2" t="s">
        <v>803</v>
      </c>
      <c r="C188" s="2" t="s">
        <v>206</v>
      </c>
      <c r="D188" s="2" t="s">
        <v>207</v>
      </c>
      <c r="E188" s="6" t="n">
        <v>1000</v>
      </c>
      <c r="F188" s="7" t="n">
        <v>5</v>
      </c>
      <c r="G188" s="6" t="n">
        <v>46.12</v>
      </c>
      <c r="H188" s="6" t="n">
        <v>30</v>
      </c>
      <c r="I188" s="6" t="n">
        <v>230.6</v>
      </c>
      <c r="J188" s="6" t="n">
        <v>200.6</v>
      </c>
    </row>
    <row collapsed="false" customFormat="false" customHeight="false" hidden="false" ht="12.1" outlineLevel="0" r="189">
      <c r="A189" s="39" t="n">
        <v>45721</v>
      </c>
      <c r="B189" s="2" t="s">
        <v>803</v>
      </c>
      <c r="C189" s="2" t="s">
        <v>545</v>
      </c>
      <c r="D189" s="2" t="s">
        <v>810</v>
      </c>
      <c r="E189" s="6" t="n">
        <v>1000</v>
      </c>
      <c r="F189" s="7" t="n">
        <v>2</v>
      </c>
      <c r="G189" s="6" t="n">
        <v>10.68</v>
      </c>
      <c r="H189" s="6" t="n">
        <v>3</v>
      </c>
      <c r="I189" s="6" t="n">
        <v>21.36</v>
      </c>
      <c r="J189" s="6" t="n">
        <v>18.36</v>
      </c>
    </row>
    <row collapsed="false" customFormat="false" customHeight="false" hidden="false" ht="12.1" outlineLevel="0" r="190">
      <c r="A190" s="39" t="n">
        <v>45725</v>
      </c>
      <c r="B190" s="2" t="s">
        <v>803</v>
      </c>
      <c r="C190" s="2" t="s">
        <v>194</v>
      </c>
      <c r="D190" s="2" t="s">
        <v>195</v>
      </c>
      <c r="E190" s="6" t="n">
        <v>840</v>
      </c>
      <c r="F190" s="7" t="n">
        <v>10</v>
      </c>
      <c r="G190" s="6" t="n">
        <v>11.05</v>
      </c>
      <c r="H190" s="6" t="n">
        <v>14</v>
      </c>
      <c r="I190" s="6" t="n">
        <v>110.5</v>
      </c>
      <c r="J190" s="6" t="n">
        <v>96.5</v>
      </c>
    </row>
    <row collapsed="false" customFormat="false" customHeight="false" hidden="false" ht="12.1" outlineLevel="0" r="191">
      <c r="A191" s="39" t="n">
        <v>45727</v>
      </c>
      <c r="B191" s="2" t="s">
        <v>803</v>
      </c>
      <c r="C191" s="2" t="s">
        <v>242</v>
      </c>
      <c r="D191" s="2" t="s">
        <v>243</v>
      </c>
      <c r="E191" s="6" t="n">
        <v>623.7700000000001</v>
      </c>
      <c r="F191" s="7" t="n">
        <v>1</v>
      </c>
      <c r="G191" s="6" t="n">
        <v>34.99</v>
      </c>
      <c r="H191" s="6" t="n">
        <v>5</v>
      </c>
      <c r="I191" s="6" t="n">
        <v>34.99</v>
      </c>
      <c r="J191" s="6" t="n">
        <v>29.99</v>
      </c>
    </row>
    <row collapsed="false" customFormat="false" customHeight="false" hidden="false" ht="12.1" outlineLevel="0" r="192">
      <c r="A192" s="39" t="n">
        <v>45729</v>
      </c>
      <c r="B192" s="2" t="s">
        <v>803</v>
      </c>
      <c r="C192" s="2" t="s">
        <v>173</v>
      </c>
      <c r="D192" s="2" t="s">
        <v>174</v>
      </c>
      <c r="E192" s="6" t="n">
        <v>1000</v>
      </c>
      <c r="F192" s="7" t="n">
        <v>20</v>
      </c>
      <c r="G192" s="6" t="n">
        <v>17.83</v>
      </c>
      <c r="H192" s="6" t="n">
        <v>46</v>
      </c>
      <c r="I192" s="6" t="n">
        <v>356.6</v>
      </c>
      <c r="J192" s="6" t="n">
        <v>310.6</v>
      </c>
    </row>
    <row collapsed="false" customFormat="false" customHeight="false" hidden="false" ht="12.1" outlineLevel="0" r="193">
      <c r="A193" s="39" t="n">
        <v>45734</v>
      </c>
      <c r="B193" s="2" t="s">
        <v>803</v>
      </c>
      <c r="C193" s="2" t="s">
        <v>158</v>
      </c>
      <c r="D193" s="2" t="s">
        <v>159</v>
      </c>
      <c r="E193" s="6" t="n">
        <v>1000</v>
      </c>
      <c r="F193" s="7" t="n">
        <v>34</v>
      </c>
      <c r="G193" s="6" t="n">
        <v>33.41</v>
      </c>
      <c r="H193" s="6" t="n">
        <v>148</v>
      </c>
      <c r="I193" s="6" t="n">
        <v>1135.94</v>
      </c>
      <c r="J193" s="6" t="n">
        <v>987.94</v>
      </c>
    </row>
    <row collapsed="false" customFormat="false" customHeight="false" hidden="false" ht="12.1" outlineLevel="0" r="194">
      <c r="A194" s="39" t="n">
        <v>45734</v>
      </c>
      <c r="B194" s="2" t="s">
        <v>803</v>
      </c>
      <c r="C194" s="2" t="s">
        <v>176</v>
      </c>
      <c r="D194" s="2" t="s">
        <v>177</v>
      </c>
      <c r="E194" s="6" t="n">
        <v>1000</v>
      </c>
      <c r="F194" s="7" t="n">
        <v>15</v>
      </c>
      <c r="G194" s="6" t="n">
        <v>38.64</v>
      </c>
      <c r="H194" s="6" t="n">
        <v>75</v>
      </c>
      <c r="I194" s="6" t="n">
        <v>579.6</v>
      </c>
      <c r="J194" s="6" t="n">
        <v>504.6</v>
      </c>
    </row>
    <row collapsed="false" customFormat="false" customHeight="false" hidden="false" ht="12.1" outlineLevel="0" r="195">
      <c r="A195" s="39" t="n">
        <v>45739</v>
      </c>
      <c r="B195" s="2" t="s">
        <v>803</v>
      </c>
      <c r="C195" s="2" t="s">
        <v>155</v>
      </c>
      <c r="D195" s="2" t="s">
        <v>156</v>
      </c>
      <c r="E195" s="6" t="n">
        <v>1000</v>
      </c>
      <c r="F195" s="7" t="n">
        <v>8</v>
      </c>
      <c r="G195" s="6" t="n">
        <v>11.18</v>
      </c>
      <c r="H195" s="6" t="n">
        <v>12</v>
      </c>
      <c r="I195" s="6" t="n">
        <v>89.44</v>
      </c>
      <c r="J195" s="6" t="n">
        <v>77.44</v>
      </c>
    </row>
    <row collapsed="false" customFormat="false" customHeight="false" hidden="false" ht="12.1" outlineLevel="0" r="196">
      <c r="A196" s="39" t="n">
        <v>45740</v>
      </c>
      <c r="B196" s="2" t="s">
        <v>803</v>
      </c>
      <c r="C196" s="2" t="s">
        <v>224</v>
      </c>
      <c r="D196" s="2" t="s">
        <v>225</v>
      </c>
      <c r="E196" s="6" t="n">
        <v>1000</v>
      </c>
      <c r="F196" s="7" t="n">
        <v>2</v>
      </c>
      <c r="G196" s="6" t="n">
        <v>31.66</v>
      </c>
      <c r="H196" s="6" t="n">
        <v>8</v>
      </c>
      <c r="I196" s="6" t="n">
        <v>63.32</v>
      </c>
      <c r="J196" s="6" t="n">
        <v>55.32</v>
      </c>
    </row>
    <row collapsed="false" customFormat="false" customHeight="false" hidden="false" ht="12.1" outlineLevel="0" r="197">
      <c r="A197" s="39" t="n">
        <v>45741</v>
      </c>
      <c r="B197" s="2" t="s">
        <v>803</v>
      </c>
      <c r="C197" s="2" t="s">
        <v>239</v>
      </c>
      <c r="D197" s="2" t="s">
        <v>240</v>
      </c>
      <c r="E197" s="6" t="n">
        <v>670</v>
      </c>
      <c r="F197" s="7" t="n">
        <v>2</v>
      </c>
      <c r="G197" s="6" t="n">
        <v>36.41</v>
      </c>
      <c r="H197" s="6" t="n">
        <v>9</v>
      </c>
      <c r="I197" s="6" t="n">
        <v>72.82</v>
      </c>
      <c r="J197" s="6" t="n">
        <v>63.82</v>
      </c>
    </row>
    <row collapsed="false" customFormat="false" customHeight="false" hidden="false" ht="12.1" outlineLevel="0" r="198">
      <c r="A198" s="39" t="n">
        <v>45741</v>
      </c>
      <c r="B198" s="2" t="s">
        <v>803</v>
      </c>
      <c r="C198" s="2" t="s">
        <v>146</v>
      </c>
      <c r="D198" s="2" t="s">
        <v>147</v>
      </c>
      <c r="E198" s="6" t="n">
        <v>1000</v>
      </c>
      <c r="F198" s="7" t="n">
        <v>40</v>
      </c>
      <c r="G198" s="6" t="n">
        <v>56.1</v>
      </c>
      <c r="H198" s="6" t="n">
        <v>292</v>
      </c>
      <c r="I198" s="6" t="n">
        <v>2244</v>
      </c>
      <c r="J198" s="6" t="n">
        <v>1952</v>
      </c>
    </row>
    <row collapsed="false" customFormat="false" customHeight="false" hidden="false" ht="12.1" outlineLevel="0" r="199">
      <c r="A199" s="39" t="n">
        <v>45741</v>
      </c>
      <c r="B199" s="2" t="s">
        <v>803</v>
      </c>
      <c r="C199" s="2" t="s">
        <v>152</v>
      </c>
      <c r="D199" s="2" t="s">
        <v>153</v>
      </c>
      <c r="E199" s="6" t="n">
        <v>1000</v>
      </c>
      <c r="F199" s="7" t="n">
        <v>34</v>
      </c>
      <c r="G199" s="6" t="n">
        <v>59.84</v>
      </c>
      <c r="H199" s="6" t="n">
        <v>264</v>
      </c>
      <c r="I199" s="6" t="n">
        <v>2034.56</v>
      </c>
      <c r="J199" s="6" t="n">
        <v>1770.56</v>
      </c>
    </row>
    <row collapsed="false" customFormat="false" customHeight="false" hidden="false" ht="12.1" outlineLevel="0" r="200">
      <c r="A200" s="39" t="n">
        <v>45746</v>
      </c>
      <c r="B200" s="2" t="s">
        <v>803</v>
      </c>
      <c r="C200" s="2" t="s">
        <v>188</v>
      </c>
      <c r="D200" s="2" t="s">
        <v>189</v>
      </c>
      <c r="E200" s="6" t="n">
        <v>1000</v>
      </c>
      <c r="F200" s="7" t="n">
        <v>7</v>
      </c>
      <c r="G200" s="6" t="n">
        <v>11.26</v>
      </c>
      <c r="H200" s="6" t="n">
        <v>10</v>
      </c>
      <c r="I200" s="6" t="n">
        <v>78.82</v>
      </c>
      <c r="J200" s="6" t="n">
        <v>68.82</v>
      </c>
    </row>
    <row collapsed="false" customFormat="false" customHeight="false" hidden="false" ht="12.1" outlineLevel="0" r="201">
      <c r="A201" s="39" t="n">
        <v>45747</v>
      </c>
      <c r="B201" s="2" t="s">
        <v>803</v>
      </c>
      <c r="C201" s="2" t="s">
        <v>221</v>
      </c>
      <c r="D201" s="2" t="s">
        <v>222</v>
      </c>
      <c r="E201" s="6" t="n">
        <v>566.6899999999999</v>
      </c>
      <c r="F201" s="7" t="n">
        <v>7</v>
      </c>
      <c r="G201" s="6" t="n">
        <v>3.85</v>
      </c>
      <c r="H201" s="6" t="n">
        <v>4</v>
      </c>
      <c r="I201" s="6" t="n">
        <v>26.95</v>
      </c>
      <c r="J201" s="6" t="n">
        <v>22.95</v>
      </c>
    </row>
    <row collapsed="false" customFormat="false" customHeight="false" hidden="false" ht="12.1" outlineLevel="0" r="202">
      <c r="A202" s="39" t="n">
        <v>45748</v>
      </c>
      <c r="B202" s="2" t="s">
        <v>803</v>
      </c>
      <c r="C202" s="2" t="s">
        <v>233</v>
      </c>
      <c r="D202" s="2" t="s">
        <v>234</v>
      </c>
      <c r="E202" s="6" t="n">
        <v>360.06</v>
      </c>
      <c r="F202" s="7" t="n">
        <v>10</v>
      </c>
      <c r="G202" s="6" t="n">
        <v>3.36</v>
      </c>
      <c r="H202" s="6" t="n">
        <v>4</v>
      </c>
      <c r="I202" s="6" t="n">
        <v>33.6</v>
      </c>
      <c r="J202" s="6" t="n">
        <v>29.6</v>
      </c>
    </row>
    <row collapsed="false" customFormat="false" customHeight="false" hidden="false" ht="12.1" outlineLevel="0" r="203">
      <c r="A203" s="39" t="n">
        <v>45748</v>
      </c>
      <c r="B203" s="2" t="s">
        <v>803</v>
      </c>
      <c r="C203" s="2" t="s">
        <v>149</v>
      </c>
      <c r="D203" s="2" t="s">
        <v>150</v>
      </c>
      <c r="E203" s="6" t="n">
        <v>1000</v>
      </c>
      <c r="F203" s="7" t="n">
        <v>45</v>
      </c>
      <c r="G203" s="6" t="n">
        <v>38.39</v>
      </c>
      <c r="H203" s="6" t="n">
        <v>225</v>
      </c>
      <c r="I203" s="6" t="n">
        <v>1727.55</v>
      </c>
      <c r="J203" s="6" t="n">
        <v>1502.55</v>
      </c>
    </row>
    <row collapsed="false" customFormat="false" customHeight="false" hidden="false" ht="12.1" outlineLevel="0" r="204">
      <c r="A204" s="39" t="n">
        <v>45749</v>
      </c>
      <c r="B204" s="2" t="s">
        <v>803</v>
      </c>
      <c r="C204" s="2" t="s">
        <v>212</v>
      </c>
      <c r="D204" s="2" t="s">
        <v>213</v>
      </c>
      <c r="E204" s="6" t="n">
        <v>1000</v>
      </c>
      <c r="F204" s="7" t="n">
        <v>4</v>
      </c>
      <c r="G204" s="6" t="n">
        <v>29.42</v>
      </c>
      <c r="H204" s="6" t="n">
        <v>15</v>
      </c>
      <c r="I204" s="6" t="n">
        <v>117.68</v>
      </c>
      <c r="J204" s="6" t="n">
        <v>102.68</v>
      </c>
    </row>
    <row collapsed="false" customFormat="false" customHeight="false" hidden="false" ht="12.1" outlineLevel="0" r="205">
      <c r="A205" s="39" t="n">
        <v>45751</v>
      </c>
      <c r="B205" s="2" t="s">
        <v>803</v>
      </c>
      <c r="C205" s="2" t="s">
        <v>545</v>
      </c>
      <c r="D205" s="2" t="s">
        <v>810</v>
      </c>
      <c r="E205" s="6" t="n">
        <v>1000</v>
      </c>
      <c r="F205" s="7" t="n">
        <v>2</v>
      </c>
      <c r="G205" s="6" t="n">
        <v>10.68</v>
      </c>
      <c r="H205" s="6" t="n">
        <v>3</v>
      </c>
      <c r="I205" s="6" t="n">
        <v>21.36</v>
      </c>
      <c r="J205" s="6" t="n">
        <v>18.36</v>
      </c>
    </row>
    <row collapsed="false" customFormat="false" customHeight="false" hidden="false" ht="12.1" outlineLevel="0" r="206">
      <c r="A206" s="39" t="n">
        <v>45755</v>
      </c>
      <c r="B206" s="2" t="s">
        <v>803</v>
      </c>
      <c r="C206" s="2" t="s">
        <v>194</v>
      </c>
      <c r="D206" s="2" t="s">
        <v>195</v>
      </c>
      <c r="E206" s="6" t="n">
        <v>800</v>
      </c>
      <c r="F206" s="7" t="n">
        <v>10</v>
      </c>
      <c r="G206" s="6" t="n">
        <v>10.52</v>
      </c>
      <c r="H206" s="6" t="n">
        <v>14</v>
      </c>
      <c r="I206" s="6" t="n">
        <v>105.2</v>
      </c>
      <c r="J206" s="6" t="n">
        <v>91.2</v>
      </c>
    </row>
    <row collapsed="false" customFormat="false" customHeight="false" hidden="false" ht="12.1" outlineLevel="0" r="207">
      <c r="A207" s="39" t="n">
        <v>45757</v>
      </c>
      <c r="B207" s="2" t="s">
        <v>803</v>
      </c>
      <c r="C207" s="2" t="s">
        <v>550</v>
      </c>
      <c r="D207" s="2" t="s">
        <v>813</v>
      </c>
      <c r="E207" s="6" t="n">
        <v>1000</v>
      </c>
      <c r="F207" s="7" t="n">
        <v>5</v>
      </c>
      <c r="G207" s="6" t="n">
        <v>33.03</v>
      </c>
      <c r="H207" s="6" t="n">
        <v>21</v>
      </c>
      <c r="I207" s="6" t="n">
        <v>165.15</v>
      </c>
      <c r="J207" s="6" t="n">
        <v>144.15</v>
      </c>
    </row>
    <row collapsed="false" customFormat="false" customHeight="false" hidden="false" ht="12.1" outlineLevel="0" r="208">
      <c r="A208" s="39" t="n">
        <v>45769</v>
      </c>
      <c r="B208" s="2" t="s">
        <v>803</v>
      </c>
      <c r="C208" s="2" t="s">
        <v>155</v>
      </c>
      <c r="D208" s="2" t="s">
        <v>156</v>
      </c>
      <c r="E208" s="6" t="n">
        <v>1000</v>
      </c>
      <c r="F208" s="7" t="n">
        <v>8</v>
      </c>
      <c r="G208" s="6" t="n">
        <v>11.18</v>
      </c>
      <c r="H208" s="6" t="n">
        <v>12</v>
      </c>
      <c r="I208" s="6" t="n">
        <v>89.44</v>
      </c>
      <c r="J208" s="6" t="n">
        <v>77.44</v>
      </c>
    </row>
    <row collapsed="false" customFormat="false" customHeight="false" hidden="false" ht="12.1" outlineLevel="0" r="209">
      <c r="A209" s="39" t="n">
        <v>45770</v>
      </c>
      <c r="B209" s="2" t="s">
        <v>803</v>
      </c>
      <c r="C209" s="2" t="s">
        <v>209</v>
      </c>
      <c r="D209" s="2" t="s">
        <v>210</v>
      </c>
      <c r="E209" s="6" t="n">
        <v>1000</v>
      </c>
      <c r="F209" s="7" t="n">
        <v>4</v>
      </c>
      <c r="G209" s="6" t="n">
        <v>44.88</v>
      </c>
      <c r="H209" s="6" t="n">
        <v>23</v>
      </c>
      <c r="I209" s="6" t="n">
        <v>179.52</v>
      </c>
      <c r="J209" s="6" t="n">
        <v>156.52</v>
      </c>
    </row>
    <row collapsed="false" customFormat="false" customHeight="false" hidden="false" ht="12.1" outlineLevel="0" r="210">
      <c r="A210" s="39" t="n">
        <v>45770</v>
      </c>
      <c r="B210" s="2" t="s">
        <v>803</v>
      </c>
      <c r="C210" s="2" t="s">
        <v>182</v>
      </c>
      <c r="D210" s="2" t="s">
        <v>183</v>
      </c>
      <c r="E210" s="6" t="n">
        <v>1000</v>
      </c>
      <c r="F210" s="7" t="n">
        <v>12</v>
      </c>
      <c r="G210" s="6" t="n">
        <v>16.83</v>
      </c>
      <c r="H210" s="6" t="n">
        <v>26</v>
      </c>
      <c r="I210" s="6" t="n">
        <v>201.96</v>
      </c>
      <c r="J210" s="6" t="n">
        <v>175.96</v>
      </c>
    </row>
    <row collapsed="false" customFormat="false" customHeight="false" hidden="false" ht="12.1" outlineLevel="0" r="211">
      <c r="A211" s="39" t="n">
        <v>45776</v>
      </c>
      <c r="B211" s="2" t="s">
        <v>803</v>
      </c>
      <c r="C211" s="2" t="s">
        <v>188</v>
      </c>
      <c r="D211" s="2" t="s">
        <v>189</v>
      </c>
      <c r="E211" s="6" t="n">
        <v>1000</v>
      </c>
      <c r="F211" s="7" t="n">
        <v>7</v>
      </c>
      <c r="G211" s="6" t="n">
        <v>11.26</v>
      </c>
      <c r="H211" s="6" t="n">
        <v>10</v>
      </c>
      <c r="I211" s="6" t="n">
        <v>78.82</v>
      </c>
      <c r="J211" s="6" t="n">
        <v>68.82</v>
      </c>
    </row>
    <row collapsed="false" customFormat="false" customHeight="false" hidden="false" ht="12.1" outlineLevel="0" r="212">
      <c r="A212" s="39" t="n">
        <v>45777</v>
      </c>
      <c r="B212" s="2" t="s">
        <v>803</v>
      </c>
      <c r="C212" s="2" t="s">
        <v>221</v>
      </c>
      <c r="D212" s="2" t="s">
        <v>222</v>
      </c>
      <c r="E212" s="6" t="n">
        <v>530.1300000000001</v>
      </c>
      <c r="F212" s="7" t="n">
        <v>7</v>
      </c>
      <c r="G212" s="6" t="n">
        <v>3.49</v>
      </c>
      <c r="H212" s="6" t="n">
        <v>3</v>
      </c>
      <c r="I212" s="6" t="n">
        <v>24.43</v>
      </c>
      <c r="J212" s="6" t="n">
        <v>21.43</v>
      </c>
    </row>
    <row collapsed="false" customFormat="false" customHeight="false" hidden="false" ht="12.1" outlineLevel="0" r="213">
      <c r="A213" s="39" t="n">
        <v>45778</v>
      </c>
      <c r="B213" s="2" t="s">
        <v>803</v>
      </c>
      <c r="C213" s="2" t="s">
        <v>191</v>
      </c>
      <c r="D213" s="2" t="s">
        <v>192</v>
      </c>
      <c r="E213" s="6" t="n">
        <v>1000</v>
      </c>
      <c r="F213" s="7" t="n">
        <v>5</v>
      </c>
      <c r="G213" s="6" t="n">
        <v>39.89</v>
      </c>
      <c r="H213" s="6" t="n">
        <v>26</v>
      </c>
      <c r="I213" s="6" t="n">
        <v>199.45</v>
      </c>
      <c r="J213" s="6" t="n">
        <v>173.45</v>
      </c>
    </row>
    <row collapsed="false" customFormat="false" customHeight="false" hidden="false" ht="12.1" outlineLevel="0" r="214">
      <c r="A214" s="39" t="n">
        <v>45778</v>
      </c>
      <c r="B214" s="2" t="s">
        <v>803</v>
      </c>
      <c r="C214" s="2" t="s">
        <v>233</v>
      </c>
      <c r="D214" s="2" t="s">
        <v>234</v>
      </c>
      <c r="E214" s="6" t="n">
        <v>329.89</v>
      </c>
      <c r="F214" s="7" t="n">
        <v>10</v>
      </c>
      <c r="G214" s="6" t="n">
        <v>2.98</v>
      </c>
      <c r="H214" s="6" t="n">
        <v>4</v>
      </c>
      <c r="I214" s="6" t="n">
        <v>29.8</v>
      </c>
      <c r="J214" s="6" t="n">
        <v>25.8</v>
      </c>
    </row>
    <row collapsed="false" customFormat="false" customHeight="false" hidden="false" ht="12.1" outlineLevel="0" r="215">
      <c r="A215" s="39" t="n">
        <v>45781</v>
      </c>
      <c r="B215" s="2" t="s">
        <v>803</v>
      </c>
      <c r="C215" s="2" t="s">
        <v>545</v>
      </c>
      <c r="D215" s="2" t="s">
        <v>810</v>
      </c>
      <c r="E215" s="6" t="n">
        <v>1000</v>
      </c>
      <c r="F215" s="7" t="n">
        <v>2</v>
      </c>
      <c r="G215" s="6" t="n">
        <v>10.68</v>
      </c>
      <c r="H215" s="6" t="n">
        <v>3</v>
      </c>
      <c r="I215" s="6" t="n">
        <v>21.36</v>
      </c>
      <c r="J215" s="6" t="n">
        <v>18.36</v>
      </c>
    </row>
    <row collapsed="false" customFormat="false" customHeight="false" hidden="false" ht="12.1" outlineLevel="0" r="216">
      <c r="A216" s="39" t="n">
        <v>45785</v>
      </c>
      <c r="B216" s="2" t="s">
        <v>803</v>
      </c>
      <c r="C216" s="2" t="s">
        <v>194</v>
      </c>
      <c r="D216" s="2" t="s">
        <v>195</v>
      </c>
      <c r="E216" s="6" t="n">
        <v>760</v>
      </c>
      <c r="F216" s="7" t="n">
        <v>10</v>
      </c>
      <c r="G216" s="6" t="n">
        <v>9.99</v>
      </c>
      <c r="H216" s="6" t="n">
        <v>13</v>
      </c>
      <c r="I216" s="6" t="n">
        <v>99.9</v>
      </c>
      <c r="J216" s="6" t="n">
        <v>86.9</v>
      </c>
    </row>
    <row collapsed="false" customFormat="false" customHeight="false" hidden="false" ht="12.1" outlineLevel="0" r="217">
      <c r="A217" s="39" t="n">
        <v>45790</v>
      </c>
      <c r="B217" s="2" t="s">
        <v>803</v>
      </c>
      <c r="C217" s="2" t="s">
        <v>179</v>
      </c>
      <c r="D217" s="2" t="s">
        <v>180</v>
      </c>
      <c r="E217" s="6" t="n">
        <v>1000</v>
      </c>
      <c r="F217" s="7" t="n">
        <v>10</v>
      </c>
      <c r="G217" s="6" t="n">
        <v>35.65</v>
      </c>
      <c r="H217" s="6" t="n">
        <v>46</v>
      </c>
      <c r="I217" s="6" t="n">
        <v>356.5</v>
      </c>
      <c r="J217" s="6" t="n">
        <v>310.5</v>
      </c>
    </row>
    <row collapsed="false" customFormat="false" customHeight="false" hidden="false" ht="12.1" outlineLevel="0" r="218">
      <c r="A218" s="39" t="n">
        <v>45791</v>
      </c>
      <c r="B218" s="2" t="s">
        <v>803</v>
      </c>
      <c r="C218" s="2" t="s">
        <v>215</v>
      </c>
      <c r="D218" s="2" t="s">
        <v>216</v>
      </c>
      <c r="E218" s="6" t="n">
        <v>800</v>
      </c>
      <c r="F218" s="7" t="n">
        <v>5</v>
      </c>
      <c r="G218" s="6" t="n">
        <v>31.91</v>
      </c>
      <c r="H218" s="6" t="n">
        <v>21</v>
      </c>
      <c r="I218" s="6" t="n">
        <v>159.55</v>
      </c>
      <c r="J218" s="6" t="n">
        <v>138.55</v>
      </c>
    </row>
    <row collapsed="false" customFormat="false" customHeight="false" hidden="false" ht="12.1" outlineLevel="0" r="219">
      <c r="A219" s="39" t="n">
        <v>45796</v>
      </c>
      <c r="B219" s="2" t="s">
        <v>803</v>
      </c>
      <c r="C219" s="2" t="s">
        <v>544</v>
      </c>
      <c r="D219" s="2" t="s">
        <v>811</v>
      </c>
      <c r="E219" s="6" t="n">
        <v>1000</v>
      </c>
      <c r="F219" s="7" t="n">
        <v>2</v>
      </c>
      <c r="G219" s="6" t="n">
        <v>47.37</v>
      </c>
      <c r="H219" s="6" t="n">
        <v>12</v>
      </c>
      <c r="I219" s="6" t="n">
        <v>94.74</v>
      </c>
      <c r="J219" s="6" t="n">
        <v>82.74</v>
      </c>
    </row>
    <row collapsed="false" customFormat="false" customHeight="false" hidden="false" ht="12.1" outlineLevel="0" r="220">
      <c r="A220" s="39" t="n">
        <v>45796</v>
      </c>
      <c r="B220" s="2" t="s">
        <v>803</v>
      </c>
      <c r="C220" s="2" t="s">
        <v>230</v>
      </c>
      <c r="D220" s="2" t="s">
        <v>231</v>
      </c>
      <c r="E220" s="6" t="n">
        <v>1000</v>
      </c>
      <c r="F220" s="7" t="n">
        <v>2</v>
      </c>
      <c r="G220" s="6" t="n">
        <v>88.51</v>
      </c>
      <c r="H220" s="6" t="n">
        <v>23</v>
      </c>
      <c r="I220" s="6" t="n">
        <v>177.02</v>
      </c>
      <c r="J220" s="6" t="n">
        <v>154.02</v>
      </c>
    </row>
    <row collapsed="false" customFormat="false" customHeight="false" hidden="false" ht="12.1" outlineLevel="0" r="221">
      <c r="A221" s="39" t="n">
        <v>45797</v>
      </c>
      <c r="B221" s="2" t="s">
        <v>803</v>
      </c>
      <c r="C221" s="2" t="s">
        <v>185</v>
      </c>
      <c r="D221" s="2" t="s">
        <v>186</v>
      </c>
      <c r="E221" s="6" t="n">
        <v>1000</v>
      </c>
      <c r="F221" s="7" t="n">
        <v>10</v>
      </c>
      <c r="G221" s="6" t="n">
        <v>28.42</v>
      </c>
      <c r="H221" s="6" t="n">
        <v>37</v>
      </c>
      <c r="I221" s="6" t="n">
        <v>284.2</v>
      </c>
      <c r="J221" s="6" t="n">
        <v>247.2</v>
      </c>
    </row>
    <row collapsed="false" customFormat="false" customHeight="false" hidden="false" ht="12.1" outlineLevel="0" r="222">
      <c r="A222" s="39" t="n">
        <v>45797</v>
      </c>
      <c r="B222" s="2" t="s">
        <v>803</v>
      </c>
      <c r="C222" s="2" t="s">
        <v>170</v>
      </c>
      <c r="D222" s="2" t="s">
        <v>171</v>
      </c>
      <c r="E222" s="6" t="n">
        <v>1000</v>
      </c>
      <c r="F222" s="7" t="n">
        <v>19</v>
      </c>
      <c r="G222" s="6" t="n">
        <v>32.16</v>
      </c>
      <c r="H222" s="6" t="n">
        <v>79</v>
      </c>
      <c r="I222" s="6" t="n">
        <v>611.04</v>
      </c>
      <c r="J222" s="6" t="n">
        <v>532.04</v>
      </c>
    </row>
    <row collapsed="false" customFormat="false" customHeight="false" hidden="false" ht="12.1" outlineLevel="0" r="223">
      <c r="A223" s="39" t="n">
        <v>45797</v>
      </c>
      <c r="B223" s="2" t="s">
        <v>803</v>
      </c>
      <c r="C223" s="2" t="s">
        <v>203</v>
      </c>
      <c r="D223" s="2" t="s">
        <v>204</v>
      </c>
      <c r="E223" s="6" t="n">
        <v>1000</v>
      </c>
      <c r="F223" s="7" t="n">
        <v>5</v>
      </c>
      <c r="G223" s="6" t="n">
        <v>34.16</v>
      </c>
      <c r="H223" s="6" t="n">
        <v>22</v>
      </c>
      <c r="I223" s="6" t="n">
        <v>170.8</v>
      </c>
      <c r="J223" s="6" t="n">
        <v>148.8</v>
      </c>
    </row>
    <row collapsed="false" customFormat="false" customHeight="false" hidden="false" ht="12.1" outlineLevel="0" r="224">
      <c r="A224" s="39" t="n">
        <v>45799</v>
      </c>
      <c r="B224" s="2" t="s">
        <v>803</v>
      </c>
      <c r="C224" s="2" t="s">
        <v>155</v>
      </c>
      <c r="D224" s="2" t="s">
        <v>156</v>
      </c>
      <c r="E224" s="6" t="n">
        <v>1000</v>
      </c>
      <c r="F224" s="7" t="n">
        <v>8</v>
      </c>
      <c r="G224" s="6" t="n">
        <v>11.18</v>
      </c>
      <c r="H224" s="6" t="n">
        <v>12</v>
      </c>
      <c r="I224" s="6" t="n">
        <v>89.44</v>
      </c>
      <c r="J224" s="6" t="n">
        <v>77.44</v>
      </c>
    </row>
    <row collapsed="false" customFormat="false" customHeight="false" hidden="false" ht="12.1" outlineLevel="0" r="225">
      <c r="A225" s="39" t="n">
        <v>45802</v>
      </c>
      <c r="B225" s="2" t="s">
        <v>803</v>
      </c>
      <c r="C225" s="2" t="s">
        <v>197</v>
      </c>
      <c r="D225" s="2" t="s">
        <v>198</v>
      </c>
      <c r="E225" s="6" t="n">
        <v>1000</v>
      </c>
      <c r="F225" s="7" t="n">
        <v>5</v>
      </c>
      <c r="G225" s="6" t="n">
        <v>59.84</v>
      </c>
      <c r="H225" s="6" t="n">
        <v>39</v>
      </c>
      <c r="I225" s="6" t="n">
        <v>299.2</v>
      </c>
      <c r="J225" s="6" t="n">
        <v>260.2</v>
      </c>
    </row>
    <row collapsed="false" customFormat="false" customHeight="false" hidden="false" ht="12.1" outlineLevel="0" r="226">
      <c r="A226" s="39" t="n">
        <v>45804</v>
      </c>
      <c r="B226" s="2" t="s">
        <v>803</v>
      </c>
      <c r="C226" s="2" t="s">
        <v>164</v>
      </c>
      <c r="D226" s="2" t="s">
        <v>165</v>
      </c>
      <c r="E226" s="6" t="n">
        <v>1000</v>
      </c>
      <c r="F226" s="7" t="n">
        <v>20</v>
      </c>
      <c r="G226" s="6" t="n">
        <v>61.08</v>
      </c>
      <c r="H226" s="6" t="n">
        <v>159</v>
      </c>
      <c r="I226" s="6" t="n">
        <v>1221.6</v>
      </c>
      <c r="J226" s="6" t="n">
        <v>1062.6</v>
      </c>
    </row>
    <row collapsed="false" customFormat="false" customHeight="false" hidden="false" ht="12.1" outlineLevel="0" r="227">
      <c r="A227" s="39" t="n">
        <v>45804</v>
      </c>
      <c r="B227" s="2" t="s">
        <v>803</v>
      </c>
      <c r="C227" s="2" t="s">
        <v>161</v>
      </c>
      <c r="D227" s="2" t="s">
        <v>162</v>
      </c>
      <c r="E227" s="6" t="n">
        <v>1000</v>
      </c>
      <c r="F227" s="7" t="n">
        <v>34</v>
      </c>
      <c r="G227" s="6" t="n">
        <v>47.37</v>
      </c>
      <c r="H227" s="6" t="n">
        <v>209</v>
      </c>
      <c r="I227" s="6" t="n">
        <v>1610.58</v>
      </c>
      <c r="J227" s="6" t="n">
        <v>1401.58</v>
      </c>
    </row>
    <row collapsed="false" customFormat="false" customHeight="false" hidden="false" ht="12.1" outlineLevel="0" r="228">
      <c r="A228" s="39" t="n">
        <v>45806</v>
      </c>
      <c r="B228" s="2" t="s">
        <v>803</v>
      </c>
      <c r="C228" s="2" t="s">
        <v>188</v>
      </c>
      <c r="D228" s="2" t="s">
        <v>189</v>
      </c>
      <c r="E228" s="6" t="n">
        <v>1000</v>
      </c>
      <c r="F228" s="7" t="n">
        <v>7</v>
      </c>
      <c r="G228" s="6" t="n">
        <v>11.26</v>
      </c>
      <c r="H228" s="6" t="n">
        <v>10</v>
      </c>
      <c r="I228" s="6" t="n">
        <v>78.82</v>
      </c>
      <c r="J228" s="6" t="n">
        <v>68.82</v>
      </c>
    </row>
    <row collapsed="false" customFormat="false" customHeight="false" hidden="false" ht="12.1" outlineLevel="0" r="229">
      <c r="A229" s="39" t="n">
        <v>45806</v>
      </c>
      <c r="B229" s="2" t="s">
        <v>803</v>
      </c>
      <c r="C229" s="2" t="s">
        <v>218</v>
      </c>
      <c r="D229" s="2" t="s">
        <v>219</v>
      </c>
      <c r="E229" s="6" t="n">
        <v>1000</v>
      </c>
      <c r="F229" s="7" t="n">
        <v>3</v>
      </c>
      <c r="G229" s="6" t="n">
        <v>24.81</v>
      </c>
      <c r="H229" s="6" t="n">
        <v>10</v>
      </c>
      <c r="I229" s="6" t="n">
        <v>74.43</v>
      </c>
      <c r="J229" s="6" t="n">
        <v>64.43</v>
      </c>
    </row>
    <row collapsed="false" customFormat="false" customHeight="false" hidden="false" ht="12.1" outlineLevel="0" r="230">
      <c r="A230" s="39" t="n">
        <v>45808</v>
      </c>
      <c r="B230" s="2" t="s">
        <v>803</v>
      </c>
      <c r="C230" s="2" t="s">
        <v>221</v>
      </c>
      <c r="D230" s="2" t="s">
        <v>222</v>
      </c>
      <c r="E230" s="6" t="n">
        <v>493.87</v>
      </c>
      <c r="F230" s="7" t="n">
        <v>7</v>
      </c>
      <c r="G230" s="6" t="n">
        <v>3.36</v>
      </c>
      <c r="H230" s="6" t="n">
        <v>3</v>
      </c>
      <c r="I230" s="6" t="n">
        <v>23.52</v>
      </c>
      <c r="J230" s="6" t="n">
        <v>20.52</v>
      </c>
    </row>
    <row collapsed="false" customFormat="false" customHeight="false" hidden="false" ht="12.1" outlineLevel="0" r="231">
      <c r="A231" s="39" t="n">
        <v>45809</v>
      </c>
      <c r="B231" s="2" t="s">
        <v>803</v>
      </c>
      <c r="C231" s="2" t="s">
        <v>233</v>
      </c>
      <c r="D231" s="2" t="s">
        <v>234</v>
      </c>
      <c r="E231" s="6" t="n">
        <v>298.99</v>
      </c>
      <c r="F231" s="7" t="n">
        <v>10</v>
      </c>
      <c r="G231" s="6" t="n">
        <v>2.79</v>
      </c>
      <c r="H231" s="6" t="n">
        <v>4</v>
      </c>
      <c r="I231" s="6" t="n">
        <v>27.9</v>
      </c>
      <c r="J231" s="6" t="n">
        <v>23.9</v>
      </c>
    </row>
    <row collapsed="false" customFormat="false" customHeight="false" hidden="false" ht="12.1" outlineLevel="0" r="232">
      <c r="A232" s="39" t="n">
        <v>45810</v>
      </c>
      <c r="B232" s="2" t="s">
        <v>803</v>
      </c>
      <c r="C232" s="2" t="s">
        <v>200</v>
      </c>
      <c r="D232" s="2" t="s">
        <v>201</v>
      </c>
      <c r="E232" s="6" t="n">
        <v>1000</v>
      </c>
      <c r="F232" s="7" t="n">
        <v>5</v>
      </c>
      <c r="G232" s="6" t="n">
        <v>56.1</v>
      </c>
      <c r="H232" s="6" t="n">
        <v>36</v>
      </c>
      <c r="I232" s="6" t="n">
        <v>280.5</v>
      </c>
      <c r="J232" s="6" t="n">
        <v>244.5</v>
      </c>
    </row>
    <row collapsed="false" customFormat="false" customHeight="false" hidden="false" ht="12.1" outlineLevel="0" r="233">
      <c r="A233" s="39" t="n">
        <v>45811</v>
      </c>
      <c r="B233" s="2" t="s">
        <v>803</v>
      </c>
      <c r="C233" s="2" t="s">
        <v>136</v>
      </c>
      <c r="D233" s="2" t="s">
        <v>138</v>
      </c>
      <c r="E233" s="6" t="n">
        <v>1000</v>
      </c>
      <c r="F233" s="7" t="n">
        <v>88</v>
      </c>
      <c r="G233" s="6" t="n">
        <v>35.4</v>
      </c>
      <c r="H233" s="6" t="n">
        <v>405</v>
      </c>
      <c r="I233" s="6" t="n">
        <v>3115.2</v>
      </c>
      <c r="J233" s="6" t="n">
        <v>2710.2</v>
      </c>
    </row>
    <row collapsed="false" customFormat="false" customHeight="false" hidden="false" ht="12.1" outlineLevel="0" r="234">
      <c r="A234" s="39" t="n">
        <v>45811</v>
      </c>
      <c r="B234" s="2" t="s">
        <v>803</v>
      </c>
      <c r="C234" s="2" t="s">
        <v>167</v>
      </c>
      <c r="D234" s="2" t="s">
        <v>168</v>
      </c>
      <c r="E234" s="6" t="n">
        <v>1000</v>
      </c>
      <c r="F234" s="7" t="n">
        <v>20</v>
      </c>
      <c r="G234" s="6" t="n">
        <v>61.08</v>
      </c>
      <c r="H234" s="6" t="n">
        <v>159</v>
      </c>
      <c r="I234" s="6" t="n">
        <v>1221.6</v>
      </c>
      <c r="J234" s="6" t="n">
        <v>1062.6</v>
      </c>
    </row>
    <row collapsed="false" customFormat="false" customHeight="false" hidden="false" ht="12.1" outlineLevel="0" r="235">
      <c r="A235" s="39" t="n">
        <v>45811</v>
      </c>
      <c r="B235" s="2" t="s">
        <v>803</v>
      </c>
      <c r="C235" s="2" t="s">
        <v>143</v>
      </c>
      <c r="D235" s="2" t="s">
        <v>144</v>
      </c>
      <c r="E235" s="6" t="n">
        <v>1000</v>
      </c>
      <c r="F235" s="7" t="n">
        <v>53</v>
      </c>
      <c r="G235" s="6" t="n">
        <v>48.87</v>
      </c>
      <c r="H235" s="6" t="n">
        <v>337</v>
      </c>
      <c r="I235" s="6" t="n">
        <v>2590.11</v>
      </c>
      <c r="J235" s="6" t="n">
        <v>2253.11</v>
      </c>
    </row>
    <row collapsed="false" customFormat="false" customHeight="false" hidden="false" ht="12.1" outlineLevel="0" r="236">
      <c r="A236" s="39" t="n">
        <v>45815</v>
      </c>
      <c r="B236" s="2" t="s">
        <v>803</v>
      </c>
      <c r="C236" s="2" t="s">
        <v>194</v>
      </c>
      <c r="D236" s="2" t="s">
        <v>195</v>
      </c>
      <c r="E236" s="6" t="n">
        <v>720</v>
      </c>
      <c r="F236" s="7" t="n">
        <v>10</v>
      </c>
      <c r="G236" s="6" t="n">
        <v>9.47</v>
      </c>
      <c r="H236" s="6" t="n">
        <v>12</v>
      </c>
      <c r="I236" s="6" t="n">
        <v>94.7</v>
      </c>
      <c r="J236" s="6" t="n">
        <v>82.7</v>
      </c>
    </row>
    <row collapsed="false" customFormat="false" customHeight="false" hidden="false" ht="12.1" outlineLevel="0" r="237">
      <c r="A237" s="39" t="n">
        <v>45816</v>
      </c>
      <c r="B237" s="2" t="s">
        <v>803</v>
      </c>
      <c r="C237" s="2" t="s">
        <v>236</v>
      </c>
      <c r="D237" s="2" t="s">
        <v>237</v>
      </c>
      <c r="E237" s="6" t="n">
        <v>1000</v>
      </c>
      <c r="F237" s="7" t="n">
        <v>1</v>
      </c>
      <c r="G237" s="6" t="n">
        <v>81.78</v>
      </c>
      <c r="H237" s="6" t="n">
        <v>11</v>
      </c>
      <c r="I237" s="6" t="n">
        <v>81.78</v>
      </c>
      <c r="J237" s="6" t="n">
        <v>70.78</v>
      </c>
    </row>
    <row collapsed="false" customFormat="false" customHeight="false" hidden="false" ht="12.1" outlineLevel="0" r="238">
      <c r="A238" s="39" t="n">
        <v>45818</v>
      </c>
      <c r="B238" s="2" t="s">
        <v>803</v>
      </c>
      <c r="C238" s="2" t="s">
        <v>242</v>
      </c>
      <c r="D238" s="2" t="s">
        <v>243</v>
      </c>
      <c r="E238" s="6" t="n">
        <v>606.52</v>
      </c>
      <c r="F238" s="7" t="n">
        <v>1</v>
      </c>
      <c r="G238" s="6" t="n">
        <v>34.02</v>
      </c>
      <c r="H238" s="6" t="n">
        <v>4</v>
      </c>
      <c r="I238" s="6" t="n">
        <v>34.02</v>
      </c>
      <c r="J238" s="6" t="n">
        <v>30.02</v>
      </c>
    </row>
    <row collapsed="false" customFormat="false" customHeight="false" hidden="false" ht="12.1" outlineLevel="0" r="239">
      <c r="A239" s="39" t="n">
        <v>45820</v>
      </c>
      <c r="B239" s="2" t="s">
        <v>803</v>
      </c>
      <c r="C239" s="2" t="s">
        <v>173</v>
      </c>
      <c r="D239" s="2" t="s">
        <v>174</v>
      </c>
      <c r="E239" s="6" t="n">
        <v>1000</v>
      </c>
      <c r="F239" s="7" t="n">
        <v>20</v>
      </c>
      <c r="G239" s="6" t="n">
        <v>17.83</v>
      </c>
      <c r="H239" s="6" t="n">
        <v>46</v>
      </c>
      <c r="I239" s="6" t="n">
        <v>356.6</v>
      </c>
      <c r="J239" s="6" t="n">
        <v>310.6</v>
      </c>
    </row>
    <row collapsed="false" customFormat="false" customHeight="false" hidden="false" ht="12.1" outlineLevel="0" r="240">
      <c r="A240" s="39" t="n">
        <v>45829</v>
      </c>
      <c r="B240" s="2" t="s">
        <v>803</v>
      </c>
      <c r="C240" s="2" t="s">
        <v>155</v>
      </c>
      <c r="D240" s="2" t="s">
        <v>156</v>
      </c>
      <c r="E240" s="6" t="n">
        <v>1000</v>
      </c>
      <c r="F240" s="7" t="n">
        <v>8</v>
      </c>
      <c r="G240" s="6" t="n">
        <v>11.18</v>
      </c>
      <c r="H240" s="6" t="n">
        <v>12</v>
      </c>
      <c r="I240" s="6" t="n">
        <v>89.44</v>
      </c>
      <c r="J240" s="6" t="n">
        <v>77.44</v>
      </c>
    </row>
    <row collapsed="false" customFormat="false" customHeight="false" hidden="false" ht="12.1" outlineLevel="0" r="241">
      <c r="A241" s="39" t="n">
        <v>45831</v>
      </c>
      <c r="B241" s="2" t="s">
        <v>803</v>
      </c>
      <c r="C241" s="2" t="s">
        <v>224</v>
      </c>
      <c r="D241" s="2" t="s">
        <v>225</v>
      </c>
      <c r="E241" s="6" t="n">
        <v>1000</v>
      </c>
      <c r="F241" s="7" t="n">
        <v>2</v>
      </c>
      <c r="G241" s="6" t="n">
        <v>31.66</v>
      </c>
      <c r="H241" s="6" t="n">
        <v>8</v>
      </c>
      <c r="I241" s="6" t="n">
        <v>63.32</v>
      </c>
      <c r="J241" s="6" t="n">
        <v>55.32</v>
      </c>
    </row>
    <row collapsed="false" customFormat="false" customHeight="false" hidden="false" ht="12.1" outlineLevel="0" r="242">
      <c r="A242" s="39" t="n">
        <v>45836</v>
      </c>
      <c r="B242" s="2" t="s">
        <v>803</v>
      </c>
      <c r="C242" s="2" t="s">
        <v>188</v>
      </c>
      <c r="D242" s="2" t="s">
        <v>189</v>
      </c>
      <c r="E242" s="6" t="n">
        <v>1000</v>
      </c>
      <c r="F242" s="7" t="n">
        <v>7</v>
      </c>
      <c r="G242" s="6" t="n">
        <v>11.26</v>
      </c>
      <c r="H242" s="6" t="n">
        <v>10</v>
      </c>
      <c r="I242" s="6" t="n">
        <v>78.82</v>
      </c>
      <c r="J242" s="6" t="n">
        <v>68.82</v>
      </c>
    </row>
    <row collapsed="false" customFormat="false" customHeight="false" hidden="false" ht="12.1" outlineLevel="0" r="243">
      <c r="A243" s="39" t="n">
        <v>45838</v>
      </c>
      <c r="B243" s="2" t="s">
        <v>803</v>
      </c>
      <c r="C243" s="2" t="s">
        <v>221</v>
      </c>
      <c r="D243" s="2" t="s">
        <v>222</v>
      </c>
      <c r="E243" s="6" t="n">
        <v>458.91</v>
      </c>
      <c r="F243" s="7" t="n">
        <v>7</v>
      </c>
      <c r="G243" s="6" t="n">
        <v>3.02</v>
      </c>
      <c r="H243" s="6" t="n">
        <v>3</v>
      </c>
      <c r="I243" s="6" t="n">
        <v>21.14</v>
      </c>
      <c r="J243" s="6" t="n">
        <v>18.14</v>
      </c>
    </row>
    <row collapsed="false" customFormat="false" customHeight="false" hidden="false" ht="12.1" outlineLevel="0" r="244">
      <c r="A244" s="39" t="n">
        <v>45839</v>
      </c>
      <c r="B244" s="2" t="s">
        <v>803</v>
      </c>
      <c r="C244" s="2" t="s">
        <v>233</v>
      </c>
      <c r="D244" s="2" t="s">
        <v>234</v>
      </c>
      <c r="E244" s="6" t="n">
        <v>269.19</v>
      </c>
      <c r="F244" s="7" t="n">
        <v>10</v>
      </c>
      <c r="G244" s="6" t="n">
        <v>2.43</v>
      </c>
      <c r="H244" s="6" t="n">
        <v>3</v>
      </c>
      <c r="I244" s="6" t="n">
        <v>24.3</v>
      </c>
      <c r="J244" s="6" t="n">
        <v>21.3</v>
      </c>
    </row>
    <row collapsed="false" customFormat="false" customHeight="false" hidden="false" ht="12.1" outlineLevel="0" r="245">
      <c r="A245" s="39" t="n">
        <v>45840</v>
      </c>
      <c r="B245" s="2" t="s">
        <v>803</v>
      </c>
      <c r="C245" s="2" t="s">
        <v>212</v>
      </c>
      <c r="D245" s="2" t="s">
        <v>213</v>
      </c>
      <c r="E245" s="6" t="n">
        <v>1000</v>
      </c>
      <c r="F245" s="7" t="n">
        <v>4</v>
      </c>
      <c r="G245" s="6" t="n">
        <v>29.42</v>
      </c>
      <c r="H245" s="6" t="n">
        <v>15</v>
      </c>
      <c r="I245" s="6" t="n">
        <v>117.68</v>
      </c>
      <c r="J245" s="6" t="n">
        <v>102.68</v>
      </c>
    </row>
    <row collapsed="false" customFormat="false" customHeight="false" hidden="false" ht="12.1" outlineLevel="0" r="246">
      <c r="A246" s="39" t="n">
        <v>45845</v>
      </c>
      <c r="B246" s="2" t="s">
        <v>803</v>
      </c>
      <c r="C246" s="2" t="s">
        <v>194</v>
      </c>
      <c r="D246" s="2" t="s">
        <v>195</v>
      </c>
      <c r="E246" s="6" t="n">
        <v>680</v>
      </c>
      <c r="F246" s="7" t="n">
        <v>10</v>
      </c>
      <c r="G246" s="6" t="n">
        <v>8.94</v>
      </c>
      <c r="H246" s="6" t="n">
        <v>12</v>
      </c>
      <c r="I246" s="6" t="n">
        <v>89.4</v>
      </c>
      <c r="J246" s="6" t="n">
        <v>77.4</v>
      </c>
    </row>
    <row collapsed="false" customFormat="false" customHeight="false" hidden="false" ht="12.1" outlineLevel="0" r="247">
      <c r="A247" s="39" t="n">
        <v>45848</v>
      </c>
      <c r="B247" s="2" t="s">
        <v>803</v>
      </c>
      <c r="C247" s="2" t="s">
        <v>550</v>
      </c>
      <c r="D247" s="2" t="s">
        <v>813</v>
      </c>
      <c r="E247" s="6" t="n">
        <v>1000</v>
      </c>
      <c r="F247" s="7" t="n">
        <v>5</v>
      </c>
      <c r="G247" s="6" t="n">
        <v>33.03</v>
      </c>
      <c r="H247" s="6" t="n">
        <v>21</v>
      </c>
      <c r="I247" s="6" t="n">
        <v>165.15</v>
      </c>
      <c r="J247" s="6" t="n">
        <v>144.15</v>
      </c>
    </row>
    <row collapsed="false" customFormat="false" customHeight="false" hidden="false" ht="12.1" outlineLevel="0" r="248">
      <c r="A248" s="39" t="n">
        <v>45859</v>
      </c>
      <c r="B248" s="2" t="s">
        <v>803</v>
      </c>
      <c r="C248" s="2" t="s">
        <v>155</v>
      </c>
      <c r="D248" s="2" t="s">
        <v>156</v>
      </c>
      <c r="E248" s="6" t="n">
        <v>1000</v>
      </c>
      <c r="F248" s="7" t="n">
        <v>8</v>
      </c>
      <c r="G248" s="6" t="n">
        <v>11.18</v>
      </c>
      <c r="H248" s="6" t="n">
        <v>12</v>
      </c>
      <c r="I248" s="6" t="n">
        <v>89.44</v>
      </c>
      <c r="J248" s="6" t="n">
        <v>77.44</v>
      </c>
    </row>
    <row collapsed="false" customFormat="false" customHeight="false" hidden="false" ht="12.1" outlineLevel="0" r="249">
      <c r="A249" s="39" t="n">
        <v>45861</v>
      </c>
      <c r="B249" s="2" t="s">
        <v>803</v>
      </c>
      <c r="C249" s="2" t="s">
        <v>209</v>
      </c>
      <c r="D249" s="2" t="s">
        <v>210</v>
      </c>
      <c r="E249" s="6" t="n">
        <v>1000</v>
      </c>
      <c r="F249" s="7" t="n">
        <v>4</v>
      </c>
      <c r="G249" s="6" t="n">
        <v>79.78</v>
      </c>
      <c r="H249" s="6" t="n">
        <v>41</v>
      </c>
      <c r="I249" s="6" t="n">
        <v>319.12</v>
      </c>
      <c r="J249" s="6" t="n">
        <v>278.12</v>
      </c>
    </row>
    <row collapsed="false" customFormat="false" customHeight="false" hidden="false" ht="12.1" outlineLevel="0" r="250">
      <c r="A250" s="39" t="n">
        <v>45861</v>
      </c>
      <c r="B250" s="2" t="s">
        <v>803</v>
      </c>
      <c r="C250" s="2" t="s">
        <v>182</v>
      </c>
      <c r="D250" s="2" t="s">
        <v>183</v>
      </c>
      <c r="E250" s="6" t="n">
        <v>1000</v>
      </c>
      <c r="F250" s="7" t="n">
        <v>12</v>
      </c>
      <c r="G250" s="6" t="n">
        <v>16.83</v>
      </c>
      <c r="H250" s="6" t="n">
        <v>26</v>
      </c>
      <c r="I250" s="6" t="n">
        <v>201.96</v>
      </c>
      <c r="J250" s="6" t="n">
        <v>175.96</v>
      </c>
    </row>
    <row collapsed="false" customFormat="false" customHeight="false" hidden="false" ht="12.1" outlineLevel="0" r="251">
      <c r="A251" s="39" t="n">
        <v>45866</v>
      </c>
      <c r="B251" s="2" t="s">
        <v>803</v>
      </c>
      <c r="C251" s="2" t="s">
        <v>188</v>
      </c>
      <c r="D251" s="2" t="s">
        <v>189</v>
      </c>
      <c r="E251" s="6" t="n">
        <v>1000</v>
      </c>
      <c r="F251" s="7" t="n">
        <v>7</v>
      </c>
      <c r="G251" s="6" t="n">
        <v>11.26</v>
      </c>
      <c r="H251" s="6" t="n">
        <v>10</v>
      </c>
      <c r="I251" s="6" t="n">
        <v>78.82</v>
      </c>
      <c r="J251" s="6" t="n">
        <v>68.82</v>
      </c>
    </row>
    <row collapsed="false" customFormat="false" customHeight="false" hidden="false" ht="12.1" outlineLevel="0" r="252">
      <c r="A252" s="39" t="n">
        <v>45869</v>
      </c>
      <c r="B252" s="2" t="s">
        <v>803</v>
      </c>
      <c r="C252" s="2" t="s">
        <v>221</v>
      </c>
      <c r="D252" s="2" t="s">
        <v>222</v>
      </c>
      <c r="E252" s="6" t="n">
        <v>426.46000000000004</v>
      </c>
      <c r="F252" s="7" t="n">
        <v>7</v>
      </c>
      <c r="G252" s="6" t="n">
        <v>2.9</v>
      </c>
      <c r="H252" s="6" t="n">
        <v>3</v>
      </c>
      <c r="I252" s="6" t="n">
        <v>20.3</v>
      </c>
      <c r="J252" s="6" t="n">
        <v>17.3</v>
      </c>
    </row>
    <row collapsed="false" customFormat="false" customHeight="false" hidden="false" ht="12.1" outlineLevel="0" r="253">
      <c r="A253" s="39" t="n">
        <v>45869</v>
      </c>
      <c r="B253" s="2" t="s">
        <v>803</v>
      </c>
      <c r="C253" s="2" t="s">
        <v>191</v>
      </c>
      <c r="D253" s="2" t="s">
        <v>192</v>
      </c>
      <c r="E253" s="6" t="n">
        <v>1000</v>
      </c>
      <c r="F253" s="7" t="n">
        <v>5</v>
      </c>
      <c r="G253" s="6" t="n">
        <v>64.82</v>
      </c>
      <c r="H253" s="6" t="n">
        <v>42</v>
      </c>
      <c r="I253" s="6" t="n">
        <v>324.1</v>
      </c>
      <c r="J253" s="6" t="n">
        <v>282.1</v>
      </c>
    </row>
    <row collapsed="false" customFormat="false" customHeight="false" hidden="false" ht="12.1" outlineLevel="0" r="254">
      <c r="A254" s="39" t="n">
        <v>45870</v>
      </c>
      <c r="B254" s="2" t="s">
        <v>803</v>
      </c>
      <c r="C254" s="2" t="s">
        <v>233</v>
      </c>
      <c r="D254" s="2" t="s">
        <v>234</v>
      </c>
      <c r="E254" s="6" t="n">
        <v>239.57999999999998</v>
      </c>
      <c r="F254" s="7" t="n">
        <v>10</v>
      </c>
      <c r="G254" s="6" t="n">
        <v>2.24</v>
      </c>
      <c r="H254" s="6" t="n">
        <v>3</v>
      </c>
      <c r="I254" s="6" t="n">
        <v>22.4</v>
      </c>
      <c r="J254" s="6" t="n">
        <v>19.4</v>
      </c>
    </row>
    <row collapsed="false" customFormat="false" customHeight="false" hidden="false" ht="12.1" outlineLevel="0" r="255">
      <c r="A255" s="39" t="n">
        <v>45875</v>
      </c>
      <c r="B255" s="2" t="s">
        <v>803</v>
      </c>
      <c r="C255" s="2" t="s">
        <v>194</v>
      </c>
      <c r="D255" s="2" t="s">
        <v>195</v>
      </c>
      <c r="E255" s="6" t="n">
        <v>640</v>
      </c>
      <c r="F255" s="7" t="n">
        <v>10</v>
      </c>
      <c r="G255" s="6" t="n">
        <v>8.42</v>
      </c>
      <c r="H255" s="6" t="n">
        <v>11</v>
      </c>
      <c r="I255" s="6" t="n">
        <v>84.2</v>
      </c>
      <c r="J255" s="6" t="n">
        <v>73.2</v>
      </c>
    </row>
    <row collapsed="false" customFormat="false" customHeight="false" hidden="false" ht="12.1" outlineLevel="0" r="256">
      <c r="A256" s="39" t="n">
        <v>45881</v>
      </c>
      <c r="B256" s="2" t="s">
        <v>803</v>
      </c>
      <c r="C256" s="2" t="s">
        <v>140</v>
      </c>
      <c r="D256" s="2" t="s">
        <v>141</v>
      </c>
      <c r="E256" s="6" t="n">
        <v>1000</v>
      </c>
      <c r="F256" s="7" t="n">
        <v>80</v>
      </c>
      <c r="G256" s="6" t="n">
        <v>34.9</v>
      </c>
      <c r="H256" s="6" t="n">
        <v>363</v>
      </c>
      <c r="I256" s="6" t="n">
        <v>2792</v>
      </c>
      <c r="J256" s="6" t="n">
        <v>2429</v>
      </c>
    </row>
    <row collapsed="false" customFormat="false" customHeight="false" hidden="false" ht="12.1" outlineLevel="0" r="257">
      <c r="A257" s="39" t="n">
        <v>45882</v>
      </c>
      <c r="B257" s="2" t="s">
        <v>803</v>
      </c>
      <c r="C257" s="2" t="s">
        <v>215</v>
      </c>
      <c r="D257" s="2" t="s">
        <v>216</v>
      </c>
      <c r="E257" s="6" t="n">
        <v>800</v>
      </c>
      <c r="F257" s="7" t="n">
        <v>5</v>
      </c>
      <c r="G257" s="6" t="n">
        <v>31.91</v>
      </c>
      <c r="H257" s="6" t="n">
        <v>21</v>
      </c>
      <c r="I257" s="6" t="n">
        <v>159.55</v>
      </c>
      <c r="J257" s="6" t="n">
        <v>138.55</v>
      </c>
    </row>
    <row collapsed="false" customFormat="false" customHeight="false" hidden="false" ht="12.1" outlineLevel="0" r="258">
      <c r="A258" s="39" t="n">
        <v>45883</v>
      </c>
      <c r="B258" s="2" t="s">
        <v>803</v>
      </c>
      <c r="C258" s="2" t="s">
        <v>227</v>
      </c>
      <c r="D258" s="2" t="s">
        <v>228</v>
      </c>
      <c r="E258" s="6" t="n">
        <v>1000</v>
      </c>
      <c r="F258" s="7" t="n">
        <v>2</v>
      </c>
      <c r="G258" s="6" t="n">
        <v>66.32</v>
      </c>
      <c r="H258" s="6" t="n">
        <v>17</v>
      </c>
      <c r="I258" s="6" t="n">
        <v>132.64</v>
      </c>
      <c r="J258" s="6" t="n">
        <v>115.64</v>
      </c>
    </row>
    <row collapsed="false" customFormat="false" customHeight="false" hidden="false" ht="12.1" outlineLevel="0" r="259">
      <c r="A259" s="39" t="n">
        <v>45887</v>
      </c>
      <c r="B259" s="2" t="s">
        <v>803</v>
      </c>
      <c r="C259" s="2" t="s">
        <v>544</v>
      </c>
      <c r="D259" s="2" t="s">
        <v>811</v>
      </c>
      <c r="E259" s="6" t="n">
        <v>750</v>
      </c>
      <c r="F259" s="7" t="n">
        <v>2</v>
      </c>
      <c r="G259" s="6" t="n">
        <v>35.53</v>
      </c>
      <c r="H259" s="6" t="n">
        <v>9</v>
      </c>
      <c r="I259" s="6" t="n">
        <v>71.06</v>
      </c>
      <c r="J259" s="6" t="n">
        <v>62.06</v>
      </c>
    </row>
    <row collapsed="false" customFormat="false" customHeight="false" hidden="false" ht="12.1" outlineLevel="0" r="260">
      <c r="A260" s="39" t="n">
        <v>45888</v>
      </c>
      <c r="B260" s="2" t="s">
        <v>803</v>
      </c>
      <c r="C260" s="2" t="s">
        <v>170</v>
      </c>
      <c r="D260" s="2" t="s">
        <v>171</v>
      </c>
      <c r="E260" s="6" t="n">
        <v>1000</v>
      </c>
      <c r="F260" s="7" t="n">
        <v>19</v>
      </c>
      <c r="G260" s="6" t="n">
        <v>32.16</v>
      </c>
      <c r="H260" s="6" t="n">
        <v>79</v>
      </c>
      <c r="I260" s="6" t="n">
        <v>611.04</v>
      </c>
      <c r="J260" s="6" t="n">
        <v>532.04</v>
      </c>
    </row>
    <row collapsed="false" customFormat="false" customHeight="false" hidden="false" ht="12.1" outlineLevel="0" r="261">
      <c r="A261" s="39" t="n">
        <v>45888</v>
      </c>
      <c r="B261" s="2" t="s">
        <v>803</v>
      </c>
      <c r="C261" s="2" t="s">
        <v>203</v>
      </c>
      <c r="D261" s="2" t="s">
        <v>204</v>
      </c>
      <c r="E261" s="6" t="n">
        <v>1000</v>
      </c>
      <c r="F261" s="7" t="n">
        <v>5</v>
      </c>
      <c r="G261" s="6" t="n">
        <v>34.16</v>
      </c>
      <c r="H261" s="6" t="n">
        <v>22</v>
      </c>
      <c r="I261" s="6" t="n">
        <v>170.8</v>
      </c>
      <c r="J261" s="6" t="n">
        <v>148.8</v>
      </c>
    </row>
    <row collapsed="false" customFormat="false" customHeight="false" hidden="false" ht="12.1" outlineLevel="0" r="262">
      <c r="A262" s="39" t="n">
        <v>45889</v>
      </c>
      <c r="B262" s="2" t="s">
        <v>803</v>
      </c>
      <c r="C262" s="2" t="s">
        <v>155</v>
      </c>
      <c r="D262" s="2" t="s">
        <v>156</v>
      </c>
      <c r="E262" s="6" t="n">
        <v>1000</v>
      </c>
      <c r="F262" s="7" t="n">
        <v>8</v>
      </c>
      <c r="G262" s="6" t="n">
        <v>11.18</v>
      </c>
      <c r="H262" s="6" t="n">
        <v>12</v>
      </c>
      <c r="I262" s="6" t="n">
        <v>89.44</v>
      </c>
      <c r="J262" s="6" t="n">
        <v>77.44</v>
      </c>
    </row>
    <row collapsed="false" customFormat="false" customHeight="false" hidden="false" ht="12.1" outlineLevel="0" r="263">
      <c r="A263" s="39" t="n">
        <v>45893</v>
      </c>
      <c r="B263" s="2" t="s">
        <v>803</v>
      </c>
      <c r="C263" s="2" t="s">
        <v>197</v>
      </c>
      <c r="D263" s="2" t="s">
        <v>198</v>
      </c>
      <c r="E263" s="6" t="n">
        <v>1000</v>
      </c>
      <c r="F263" s="7" t="n">
        <v>5</v>
      </c>
      <c r="G263" s="6" t="n">
        <v>59.84</v>
      </c>
      <c r="H263" s="6" t="n">
        <v>39</v>
      </c>
      <c r="I263" s="6" t="n">
        <v>299.2</v>
      </c>
      <c r="J263" s="6" t="n">
        <v>260.2</v>
      </c>
    </row>
    <row collapsed="false" customFormat="false" customHeight="false" hidden="false" ht="12.1" outlineLevel="0" r="264">
      <c r="A264" s="39" t="n">
        <v>45896</v>
      </c>
      <c r="B264" s="2" t="s">
        <v>803</v>
      </c>
      <c r="C264" s="2" t="s">
        <v>188</v>
      </c>
      <c r="D264" s="2" t="s">
        <v>189</v>
      </c>
      <c r="E264" s="6" t="n">
        <v>1000</v>
      </c>
      <c r="F264" s="7" t="n">
        <v>7</v>
      </c>
      <c r="G264" s="6" t="n">
        <v>11.26</v>
      </c>
      <c r="H264" s="6" t="n">
        <v>10</v>
      </c>
      <c r="I264" s="6" t="n">
        <v>78.82</v>
      </c>
      <c r="J264" s="6" t="n">
        <v>68.82</v>
      </c>
    </row>
    <row collapsed="false" customFormat="false" customHeight="false" hidden="false" ht="12.1" outlineLevel="0" r="265">
      <c r="A265" s="39" t="n">
        <v>45897</v>
      </c>
      <c r="B265" s="2" t="s">
        <v>803</v>
      </c>
      <c r="C265" s="2" t="s">
        <v>218</v>
      </c>
      <c r="D265" s="2" t="s">
        <v>219</v>
      </c>
      <c r="E265" s="6" t="n">
        <v>1000</v>
      </c>
      <c r="F265" s="7" t="n">
        <v>3</v>
      </c>
      <c r="G265" s="6" t="n">
        <v>24.81</v>
      </c>
      <c r="H265" s="6" t="n">
        <v>10</v>
      </c>
      <c r="I265" s="6" t="n">
        <v>74.43</v>
      </c>
      <c r="J265" s="6" t="n">
        <v>64.43</v>
      </c>
    </row>
    <row collapsed="false" customFormat="false" customHeight="false" hidden="false" ht="12.1" outlineLevel="0" r="266">
      <c r="A266" s="39" t="n">
        <v>45900</v>
      </c>
      <c r="B266" s="2" t="s">
        <v>803</v>
      </c>
      <c r="C266" s="2" t="s">
        <v>221</v>
      </c>
      <c r="D266" s="2" t="s">
        <v>222</v>
      </c>
      <c r="E266" s="6" t="n">
        <v>393.65999999999997</v>
      </c>
      <c r="F266" s="7" t="n">
        <v>7</v>
      </c>
      <c r="G266" s="6" t="n">
        <v>2.67</v>
      </c>
      <c r="H266" s="6" t="n">
        <v>2</v>
      </c>
      <c r="I266" s="6" t="n">
        <v>18.69</v>
      </c>
      <c r="J266" s="6" t="n">
        <v>16.69</v>
      </c>
    </row>
    <row collapsed="false" customFormat="false" customHeight="false" hidden="false" ht="12.1" outlineLevel="0" r="267">
      <c r="A267" s="39" t="n">
        <v>45901</v>
      </c>
      <c r="B267" s="2" t="s">
        <v>803</v>
      </c>
      <c r="C267" s="2" t="s">
        <v>233</v>
      </c>
      <c r="D267" s="2" t="s">
        <v>234</v>
      </c>
      <c r="E267" s="6" t="n">
        <v>211.39000000000001</v>
      </c>
      <c r="F267" s="7" t="n">
        <v>10</v>
      </c>
      <c r="G267" s="6" t="n">
        <v>1.97</v>
      </c>
      <c r="H267" s="6" t="n">
        <v>3</v>
      </c>
      <c r="I267" s="6" t="n">
        <v>19.7</v>
      </c>
      <c r="J267" s="6" t="n">
        <v>16.7</v>
      </c>
    </row>
    <row collapsed="false" customFormat="false" customHeight="false" hidden="false" ht="12.1" outlineLevel="0" r="268">
      <c r="A268" s="39" t="n">
        <v>45902</v>
      </c>
      <c r="B268" s="2" t="s">
        <v>803</v>
      </c>
      <c r="C268" s="2" t="s">
        <v>206</v>
      </c>
      <c r="D268" s="2" t="s">
        <v>207</v>
      </c>
      <c r="E268" s="6" t="n">
        <v>1000</v>
      </c>
      <c r="F268" s="7" t="n">
        <v>5</v>
      </c>
      <c r="G268" s="6" t="n">
        <v>46.12</v>
      </c>
      <c r="H268" s="6" t="n">
        <v>30</v>
      </c>
      <c r="I268" s="6" t="n">
        <v>230.6</v>
      </c>
      <c r="J268" s="6" t="n">
        <v>200.6</v>
      </c>
    </row>
    <row collapsed="false" customFormat="false" customHeight="false" hidden="false" ht="12.1" outlineLevel="0" r="269">
      <c r="A269" s="39" t="n">
        <v>45905</v>
      </c>
      <c r="B269" s="2" t="s">
        <v>803</v>
      </c>
      <c r="C269" s="2" t="s">
        <v>194</v>
      </c>
      <c r="D269" s="2" t="s">
        <v>195</v>
      </c>
      <c r="E269" s="6" t="n">
        <v>600</v>
      </c>
      <c r="F269" s="7" t="n">
        <v>10</v>
      </c>
      <c r="G269" s="6" t="n">
        <v>7.89</v>
      </c>
      <c r="H269" s="6" t="n">
        <v>10</v>
      </c>
      <c r="I269" s="6" t="n">
        <v>78.9</v>
      </c>
      <c r="J269" s="6" t="n">
        <v>68.9</v>
      </c>
    </row>
    <row collapsed="false" customFormat="false" customHeight="false" hidden="false" ht="12.1" outlineLevel="0" r="270">
      <c r="A270" s="39"/>
      <c r="B270" s="2"/>
      <c r="C270" s="2"/>
      <c r="D270" s="2"/>
      <c r="E270" s="6"/>
      <c r="F270" s="7"/>
      <c r="G270" s="6"/>
      <c r="H270" s="6"/>
      <c r="I270" s="6"/>
      <c r="J270" s="6"/>
    </row>
    <row collapsed="false" customFormat="false" customHeight="false" hidden="false" ht="12.1" outlineLevel="0" r="271">
      <c r="A271" s="39" t="n">
        <v>45909</v>
      </c>
      <c r="B271" s="2" t="s">
        <v>803</v>
      </c>
      <c r="C271" s="2" t="s">
        <v>242</v>
      </c>
      <c r="D271" s="2" t="s">
        <v>243</v>
      </c>
      <c r="E271" s="6" t="n">
        <v>589.14</v>
      </c>
      <c r="F271" s="7" t="n">
        <v>1</v>
      </c>
      <c r="G271" s="6" t="n">
        <v>33.05</v>
      </c>
      <c r="H271" s="6" t="n">
        <v>4</v>
      </c>
      <c r="I271" s="6" t="n">
        <v>33.05</v>
      </c>
      <c r="J271" s="6" t="n">
        <v>29.05</v>
      </c>
    </row>
    <row collapsed="false" customFormat="false" customHeight="false" hidden="false" ht="12.1" outlineLevel="0" r="272">
      <c r="A272" s="39" t="n">
        <v>45911</v>
      </c>
      <c r="B272" s="2" t="s">
        <v>803</v>
      </c>
      <c r="C272" s="2" t="s">
        <v>173</v>
      </c>
      <c r="D272" s="2" t="s">
        <v>174</v>
      </c>
      <c r="E272" s="6" t="n">
        <v>1000</v>
      </c>
      <c r="F272" s="7" t="n">
        <v>20</v>
      </c>
      <c r="G272" s="6" t="n">
        <v>17.83</v>
      </c>
      <c r="H272" s="6" t="n">
        <v>46</v>
      </c>
      <c r="I272" s="6" t="n">
        <v>356.6</v>
      </c>
      <c r="J272" s="6" t="n">
        <v>310.6</v>
      </c>
    </row>
    <row collapsed="false" customFormat="false" customHeight="false" hidden="false" ht="12.1" outlineLevel="0" r="273">
      <c r="A273" s="39" t="n">
        <v>45916</v>
      </c>
      <c r="B273" s="2" t="s">
        <v>803</v>
      </c>
      <c r="C273" s="2" t="s">
        <v>176</v>
      </c>
      <c r="D273" s="2" t="s">
        <v>177</v>
      </c>
      <c r="E273" s="6" t="n">
        <v>1000</v>
      </c>
      <c r="F273" s="7" t="n">
        <v>15</v>
      </c>
      <c r="G273" s="6" t="n">
        <v>38.64</v>
      </c>
      <c r="H273" s="6" t="n">
        <v>75</v>
      </c>
      <c r="I273" s="6" t="n">
        <v>579.6</v>
      </c>
      <c r="J273" s="6" t="n">
        <v>504.6</v>
      </c>
    </row>
    <row collapsed="false" customFormat="false" customHeight="false" hidden="false" ht="12.1" outlineLevel="0" r="274">
      <c r="A274" s="39" t="n">
        <v>45916</v>
      </c>
      <c r="B274" s="2" t="s">
        <v>803</v>
      </c>
      <c r="C274" s="2" t="s">
        <v>158</v>
      </c>
      <c r="D274" s="2" t="s">
        <v>159</v>
      </c>
      <c r="E274" s="6" t="n">
        <v>1000</v>
      </c>
      <c r="F274" s="7" t="n">
        <v>34</v>
      </c>
      <c r="G274" s="6" t="n">
        <v>33.41</v>
      </c>
      <c r="H274" s="6" t="n">
        <v>148</v>
      </c>
      <c r="I274" s="6" t="n">
        <v>1135.94</v>
      </c>
      <c r="J274" s="6" t="n">
        <v>987.94</v>
      </c>
    </row>
    <row collapsed="false" customFormat="false" customHeight="false" hidden="false" ht="12.1" outlineLevel="0" r="275">
      <c r="A275" s="39" t="n">
        <v>45919</v>
      </c>
      <c r="B275" s="2" t="s">
        <v>803</v>
      </c>
      <c r="C275" s="2" t="s">
        <v>155</v>
      </c>
      <c r="D275" s="2" t="s">
        <v>156</v>
      </c>
      <c r="E275" s="6" t="n">
        <v>1000</v>
      </c>
      <c r="F275" s="7" t="n">
        <v>31</v>
      </c>
      <c r="G275" s="6" t="n">
        <v>11.18</v>
      </c>
      <c r="H275" s="6" t="n">
        <v>45</v>
      </c>
      <c r="I275" s="6" t="n">
        <v>346.58</v>
      </c>
      <c r="J275" s="6" t="n">
        <v>301.58</v>
      </c>
    </row>
    <row collapsed="false" customFormat="false" customHeight="false" hidden="false" ht="12.1" outlineLevel="0" r="276">
      <c r="A276" s="39" t="n">
        <v>45922</v>
      </c>
      <c r="B276" s="2" t="s">
        <v>803</v>
      </c>
      <c r="C276" s="2" t="s">
        <v>224</v>
      </c>
      <c r="D276" s="2" t="s">
        <v>225</v>
      </c>
      <c r="E276" s="6" t="n">
        <v>1000</v>
      </c>
      <c r="F276" s="7" t="n">
        <v>2</v>
      </c>
      <c r="G276" s="6" t="n">
        <v>31.66</v>
      </c>
      <c r="H276" s="6" t="n">
        <v>8</v>
      </c>
      <c r="I276" s="6" t="n">
        <v>63.32</v>
      </c>
      <c r="J276" s="6" t="n">
        <v>55.32</v>
      </c>
    </row>
    <row collapsed="false" customFormat="false" customHeight="false" hidden="false" ht="12.1" outlineLevel="0" r="277">
      <c r="A277" s="39" t="n">
        <v>45923</v>
      </c>
      <c r="B277" s="2" t="s">
        <v>803</v>
      </c>
      <c r="C277" s="2" t="s">
        <v>152</v>
      </c>
      <c r="D277" s="2" t="s">
        <v>153</v>
      </c>
      <c r="E277" s="6" t="n">
        <v>1000</v>
      </c>
      <c r="F277" s="7" t="n">
        <v>34</v>
      </c>
      <c r="G277" s="6" t="n">
        <v>59.84</v>
      </c>
      <c r="H277" s="6" t="n">
        <v>264</v>
      </c>
      <c r="I277" s="6" t="n">
        <v>2034.56</v>
      </c>
      <c r="J277" s="6" t="n">
        <v>1770.56</v>
      </c>
    </row>
    <row collapsed="false" customFormat="false" customHeight="false" hidden="false" ht="12.1" outlineLevel="0" r="278">
      <c r="A278" s="39" t="n">
        <v>45923</v>
      </c>
      <c r="B278" s="2" t="s">
        <v>803</v>
      </c>
      <c r="C278" s="2" t="s">
        <v>146</v>
      </c>
      <c r="D278" s="2" t="s">
        <v>147</v>
      </c>
      <c r="E278" s="6" t="n">
        <v>1000</v>
      </c>
      <c r="F278" s="7" t="n">
        <v>40</v>
      </c>
      <c r="G278" s="6" t="n">
        <v>56.1</v>
      </c>
      <c r="H278" s="6" t="n">
        <v>292</v>
      </c>
      <c r="I278" s="6" t="n">
        <v>2244</v>
      </c>
      <c r="J278" s="6" t="n">
        <v>1952</v>
      </c>
    </row>
    <row collapsed="false" customFormat="false" customHeight="false" hidden="false" ht="12.1" outlineLevel="0" r="279">
      <c r="A279" s="39" t="n">
        <v>45923</v>
      </c>
      <c r="B279" s="2" t="s">
        <v>803</v>
      </c>
      <c r="C279" s="2" t="s">
        <v>239</v>
      </c>
      <c r="D279" s="2" t="s">
        <v>240</v>
      </c>
      <c r="E279" s="6" t="n">
        <v>340</v>
      </c>
      <c r="F279" s="7" t="n">
        <v>2</v>
      </c>
      <c r="G279" s="6" t="n">
        <v>18.48</v>
      </c>
      <c r="H279" s="6" t="n">
        <v>5</v>
      </c>
      <c r="I279" s="6" t="n">
        <v>36.96</v>
      </c>
      <c r="J279" s="6" t="n">
        <v>31.96</v>
      </c>
    </row>
    <row collapsed="false" customFormat="false" customHeight="false" hidden="false" ht="12.1" outlineLevel="0" r="280">
      <c r="A280" s="39" t="n">
        <v>45926</v>
      </c>
      <c r="B280" s="2" t="s">
        <v>803</v>
      </c>
      <c r="C280" s="2" t="s">
        <v>188</v>
      </c>
      <c r="D280" s="2" t="s">
        <v>189</v>
      </c>
      <c r="E280" s="6" t="n">
        <v>1000</v>
      </c>
      <c r="F280" s="7" t="n">
        <v>7</v>
      </c>
      <c r="G280" s="6" t="n">
        <v>11.26</v>
      </c>
      <c r="H280" s="6" t="n">
        <v>10</v>
      </c>
      <c r="I280" s="6" t="n">
        <v>78.82</v>
      </c>
      <c r="J280" s="6" t="n">
        <v>68.82</v>
      </c>
    </row>
    <row collapsed="false" customFormat="false" customHeight="false" hidden="false" ht="12.1" outlineLevel="0" r="281">
      <c r="A281" s="39" t="n">
        <v>45930</v>
      </c>
      <c r="B281" s="2" t="s">
        <v>803</v>
      </c>
      <c r="C281" s="2" t="s">
        <v>149</v>
      </c>
      <c r="D281" s="2" t="s">
        <v>150</v>
      </c>
      <c r="E281" s="6" t="n">
        <v>1000</v>
      </c>
      <c r="F281" s="7" t="n">
        <v>45</v>
      </c>
      <c r="G281" s="6" t="n">
        <v>38.39</v>
      </c>
      <c r="H281" s="6" t="n">
        <v>225</v>
      </c>
      <c r="I281" s="6" t="n">
        <v>1727.55</v>
      </c>
      <c r="J281" s="6" t="n">
        <v>1502.55</v>
      </c>
    </row>
    <row collapsed="false" customFormat="false" customHeight="false" hidden="false" ht="12.1" outlineLevel="0" r="282">
      <c r="A282" s="39" t="n">
        <v>45930</v>
      </c>
      <c r="B282" s="2" t="s">
        <v>803</v>
      </c>
      <c r="C282" s="2" t="s">
        <v>221</v>
      </c>
      <c r="D282" s="2" t="s">
        <v>222</v>
      </c>
      <c r="E282" s="6" t="n">
        <v>362.02000000000004</v>
      </c>
      <c r="F282" s="7" t="n">
        <v>7</v>
      </c>
      <c r="G282" s="6" t="n">
        <v>2.38</v>
      </c>
      <c r="H282" s="6" t="n">
        <v>2</v>
      </c>
      <c r="I282" s="6" t="n">
        <v>16.66</v>
      </c>
      <c r="J282" s="6" t="n">
        <v>14.66</v>
      </c>
    </row>
    <row collapsed="false" customFormat="false" customHeight="false" hidden="false" ht="12.1" outlineLevel="0" r="283">
      <c r="A283" s="39" t="n">
        <v>45931</v>
      </c>
      <c r="B283" s="2" t="s">
        <v>803</v>
      </c>
      <c r="C283" s="2" t="s">
        <v>233</v>
      </c>
      <c r="D283" s="2" t="s">
        <v>234</v>
      </c>
      <c r="E283" s="6" t="n">
        <v>183.41</v>
      </c>
      <c r="F283" s="7" t="n">
        <v>10</v>
      </c>
      <c r="G283" s="6" t="n">
        <v>1.66</v>
      </c>
      <c r="H283" s="6" t="n">
        <v>2</v>
      </c>
      <c r="I283" s="6" t="n">
        <v>16.6</v>
      </c>
      <c r="J283" s="6" t="n">
        <v>14.6</v>
      </c>
    </row>
    <row collapsed="false" customFormat="false" customHeight="false" hidden="false" ht="12.1" outlineLevel="0" r="284">
      <c r="A284" s="39" t="n">
        <v>45931</v>
      </c>
      <c r="B284" s="2" t="s">
        <v>803</v>
      </c>
      <c r="C284" s="2" t="s">
        <v>212</v>
      </c>
      <c r="D284" s="2" t="s">
        <v>213</v>
      </c>
      <c r="E284" s="6" t="n">
        <v>1000</v>
      </c>
      <c r="F284" s="7" t="n">
        <v>4</v>
      </c>
      <c r="G284" s="6" t="n">
        <v>29.42</v>
      </c>
      <c r="H284" s="6" t="n">
        <v>15</v>
      </c>
      <c r="I284" s="6" t="n">
        <v>117.68</v>
      </c>
      <c r="J284" s="6" t="n">
        <v>102.68</v>
      </c>
    </row>
    <row collapsed="false" customFormat="false" customHeight="false" hidden="false" ht="12.1" outlineLevel="0" r="285">
      <c r="A285" s="39" t="n">
        <v>45935</v>
      </c>
      <c r="B285" s="2" t="s">
        <v>803</v>
      </c>
      <c r="C285" s="2" t="s">
        <v>194</v>
      </c>
      <c r="D285" s="2" t="s">
        <v>195</v>
      </c>
      <c r="E285" s="6" t="n">
        <v>560</v>
      </c>
      <c r="F285" s="7" t="n">
        <v>10</v>
      </c>
      <c r="G285" s="6" t="n">
        <v>7.36</v>
      </c>
      <c r="H285" s="6" t="n">
        <v>10</v>
      </c>
      <c r="I285" s="6" t="n">
        <v>73.6</v>
      </c>
      <c r="J285" s="6" t="n">
        <v>63.6</v>
      </c>
    </row>
    <row collapsed="false" customFormat="false" customHeight="false" hidden="false" ht="12.1" outlineLevel="0" r="286">
      <c r="A286" s="39" t="n">
        <v>45949</v>
      </c>
      <c r="B286" s="2" t="s">
        <v>803</v>
      </c>
      <c r="C286" s="2" t="s">
        <v>155</v>
      </c>
      <c r="D286" s="2" t="s">
        <v>156</v>
      </c>
      <c r="E286" s="6" t="n">
        <v>1000</v>
      </c>
      <c r="F286" s="7" t="n">
        <v>31</v>
      </c>
      <c r="G286" s="6" t="n">
        <v>11.18</v>
      </c>
      <c r="H286" s="6" t="n">
        <v>45</v>
      </c>
      <c r="I286" s="6" t="n">
        <v>346.58</v>
      </c>
      <c r="J286" s="6" t="n">
        <v>301.58</v>
      </c>
    </row>
    <row collapsed="false" customFormat="false" customHeight="false" hidden="false" ht="12.1" outlineLevel="0" r="287">
      <c r="A287" s="39" t="n">
        <v>45952</v>
      </c>
      <c r="B287" s="2" t="s">
        <v>803</v>
      </c>
      <c r="C287" s="2" t="s">
        <v>209</v>
      </c>
      <c r="D287" s="2" t="s">
        <v>210</v>
      </c>
      <c r="E287" s="6" t="n">
        <v>1000</v>
      </c>
      <c r="F287" s="7" t="n">
        <v>4</v>
      </c>
      <c r="G287" s="6" t="n">
        <v>79.78</v>
      </c>
      <c r="H287" s="6" t="n">
        <v>41</v>
      </c>
      <c r="I287" s="6" t="n">
        <v>319.12</v>
      </c>
      <c r="J287" s="6" t="n">
        <v>278.12</v>
      </c>
    </row>
    <row collapsed="false" customFormat="false" customHeight="false" hidden="false" ht="12.1" outlineLevel="0" r="288">
      <c r="A288" s="39" t="n">
        <v>45952</v>
      </c>
      <c r="B288" s="2" t="s">
        <v>803</v>
      </c>
      <c r="C288" s="2" t="s">
        <v>182</v>
      </c>
      <c r="D288" s="2" t="s">
        <v>183</v>
      </c>
      <c r="E288" s="6" t="n">
        <v>1000</v>
      </c>
      <c r="F288" s="7" t="n">
        <v>12</v>
      </c>
      <c r="G288" s="6" t="n">
        <v>16.83</v>
      </c>
      <c r="H288" s="6" t="n">
        <v>26</v>
      </c>
      <c r="I288" s="6" t="n">
        <v>201.96</v>
      </c>
      <c r="J288" s="6" t="n">
        <v>175.96</v>
      </c>
    </row>
    <row collapsed="false" customFormat="false" customHeight="false" hidden="false" ht="12.1" outlineLevel="0" r="289">
      <c r="A289" s="39" t="n">
        <v>45956</v>
      </c>
      <c r="B289" s="2" t="s">
        <v>803</v>
      </c>
      <c r="C289" s="2" t="s">
        <v>188</v>
      </c>
      <c r="D289" s="2" t="s">
        <v>189</v>
      </c>
      <c r="E289" s="6" t="n">
        <v>1000</v>
      </c>
      <c r="F289" s="7" t="n">
        <v>7</v>
      </c>
      <c r="G289" s="6" t="n">
        <v>11.26</v>
      </c>
      <c r="H289" s="6" t="n">
        <v>10</v>
      </c>
      <c r="I289" s="6" t="n">
        <v>78.82</v>
      </c>
      <c r="J289" s="6" t="n">
        <v>68.82</v>
      </c>
    </row>
    <row collapsed="false" customFormat="false" customHeight="false" hidden="false" ht="12.1" outlineLevel="0" r="290">
      <c r="A290" s="39" t="n">
        <v>45960</v>
      </c>
      <c r="B290" s="2" t="s">
        <v>803</v>
      </c>
      <c r="C290" s="2" t="s">
        <v>191</v>
      </c>
      <c r="D290" s="2" t="s">
        <v>192</v>
      </c>
      <c r="E290" s="6" t="n">
        <v>1000</v>
      </c>
      <c r="F290" s="7" t="n">
        <v>5</v>
      </c>
      <c r="G290" s="6" t="n">
        <v>64.82</v>
      </c>
      <c r="H290" s="6" t="n">
        <v>42</v>
      </c>
      <c r="I290" s="6" t="n">
        <v>324.1</v>
      </c>
      <c r="J290" s="6" t="n">
        <v>282.1</v>
      </c>
    </row>
    <row collapsed="false" customFormat="false" customHeight="false" hidden="false" ht="12.1" outlineLevel="0" r="291">
      <c r="A291" s="39" t="n">
        <v>45961</v>
      </c>
      <c r="B291" s="2" t="s">
        <v>803</v>
      </c>
      <c r="C291" s="2" t="s">
        <v>221</v>
      </c>
      <c r="D291" s="2" t="s">
        <v>222</v>
      </c>
      <c r="E291" s="6" t="n">
        <v>362.02000000000004</v>
      </c>
      <c r="F291" s="7" t="n">
        <v>7</v>
      </c>
      <c r="G291" s="6" t="n">
        <v>2.22</v>
      </c>
      <c r="H291" s="6" t="n">
        <v>2</v>
      </c>
      <c r="I291" s="6" t="n">
        <v>15.54</v>
      </c>
      <c r="J291" s="6" t="n">
        <v>13.54</v>
      </c>
    </row>
    <row collapsed="false" customFormat="false" customHeight="false" hidden="false" ht="12.1" outlineLevel="0" r="292">
      <c r="A292" s="39" t="n">
        <v>45962</v>
      </c>
      <c r="B292" s="2" t="s">
        <v>803</v>
      </c>
      <c r="C292" s="2" t="s">
        <v>233</v>
      </c>
      <c r="D292" s="2" t="s">
        <v>234</v>
      </c>
      <c r="E292" s="6" t="n">
        <v>183.41</v>
      </c>
      <c r="F292" s="7" t="n">
        <v>10</v>
      </c>
      <c r="G292" s="6" t="n">
        <v>1.48</v>
      </c>
      <c r="H292" s="6" t="n">
        <v>2</v>
      </c>
      <c r="I292" s="6" t="n">
        <v>14.8</v>
      </c>
      <c r="J292" s="6" t="n">
        <v>12.8</v>
      </c>
    </row>
    <row collapsed="false" customFormat="false" customHeight="false" hidden="false" ht="12.1" outlineLevel="0" r="293">
      <c r="A293" s="39" t="n">
        <v>45965</v>
      </c>
      <c r="B293" s="2" t="s">
        <v>803</v>
      </c>
      <c r="C293" s="2" t="s">
        <v>194</v>
      </c>
      <c r="D293" s="2" t="s">
        <v>195</v>
      </c>
      <c r="E293" s="6" t="n">
        <v>560</v>
      </c>
      <c r="F293" s="7" t="n">
        <v>10</v>
      </c>
      <c r="G293" s="6" t="n">
        <v>6.84</v>
      </c>
      <c r="H293" s="6" t="n">
        <v>9</v>
      </c>
      <c r="I293" s="6" t="n">
        <v>68.4</v>
      </c>
      <c r="J293" s="6" t="n">
        <v>59.4</v>
      </c>
    </row>
    <row collapsed="false" customFormat="false" customHeight="false" hidden="false" ht="12.1" outlineLevel="0" r="294">
      <c r="A294" s="39" t="n">
        <v>45972</v>
      </c>
      <c r="B294" s="2" t="s">
        <v>803</v>
      </c>
      <c r="C294" s="2" t="s">
        <v>179</v>
      </c>
      <c r="D294" s="2" t="s">
        <v>180</v>
      </c>
      <c r="E294" s="6" t="n">
        <v>1000</v>
      </c>
      <c r="F294" s="7" t="n">
        <v>10</v>
      </c>
      <c r="G294" s="6" t="n">
        <v>35.65</v>
      </c>
      <c r="H294" s="6" t="n">
        <v>46</v>
      </c>
      <c r="I294" s="6" t="n">
        <v>356.5</v>
      </c>
      <c r="J294" s="6" t="n">
        <v>310.5</v>
      </c>
    </row>
    <row collapsed="false" customFormat="false" customHeight="false" hidden="false" ht="12.1" outlineLevel="0" r="295">
      <c r="A295" s="39" t="n">
        <v>45973</v>
      </c>
      <c r="B295" s="2" t="s">
        <v>803</v>
      </c>
      <c r="C295" s="2" t="s">
        <v>215</v>
      </c>
      <c r="D295" s="2" t="s">
        <v>216</v>
      </c>
      <c r="E295" s="6" t="n">
        <v>800</v>
      </c>
      <c r="F295" s="7" t="n">
        <v>5</v>
      </c>
      <c r="G295" s="6" t="n">
        <v>31.91</v>
      </c>
      <c r="H295" s="6" t="n">
        <v>21</v>
      </c>
      <c r="I295" s="6" t="n">
        <v>159.55</v>
      </c>
      <c r="J295" s="6" t="n">
        <v>138.55</v>
      </c>
    </row>
    <row collapsed="false" customFormat="false" customHeight="false" hidden="false" ht="12.1" outlineLevel="0" r="296">
      <c r="A296" s="39" t="n">
        <v>45978</v>
      </c>
      <c r="B296" s="2" t="s">
        <v>803</v>
      </c>
      <c r="C296" s="2" t="s">
        <v>230</v>
      </c>
      <c r="D296" s="2" t="s">
        <v>231</v>
      </c>
      <c r="E296" s="6" t="n">
        <v>1000</v>
      </c>
      <c r="F296" s="7" t="n">
        <v>2</v>
      </c>
      <c r="G296" s="6" t="n">
        <v>83.47</v>
      </c>
      <c r="H296" s="6" t="n">
        <v>22</v>
      </c>
      <c r="I296" s="6" t="n">
        <v>166.94</v>
      </c>
      <c r="J296" s="6" t="n">
        <v>144.94</v>
      </c>
    </row>
    <row collapsed="false" customFormat="false" customHeight="false" hidden="false" ht="12.1" outlineLevel="0" r="297">
      <c r="A297" s="39" t="n">
        <v>45979</v>
      </c>
      <c r="B297" s="2" t="s">
        <v>803</v>
      </c>
      <c r="C297" s="2" t="s">
        <v>155</v>
      </c>
      <c r="D297" s="2" t="s">
        <v>156</v>
      </c>
      <c r="E297" s="6" t="n">
        <v>1000</v>
      </c>
      <c r="F297" s="7" t="n">
        <v>31</v>
      </c>
      <c r="G297" s="6" t="n">
        <v>11.18</v>
      </c>
      <c r="H297" s="6" t="n">
        <v>45</v>
      </c>
      <c r="I297" s="6" t="n">
        <v>346.58</v>
      </c>
      <c r="J297" s="6" t="n">
        <v>301.58</v>
      </c>
    </row>
    <row collapsed="false" customFormat="false" customHeight="false" hidden="false" ht="12.1" outlineLevel="0" r="298">
      <c r="A298" s="39" t="n">
        <v>45979</v>
      </c>
      <c r="B298" s="2" t="s">
        <v>803</v>
      </c>
      <c r="C298" s="2" t="s">
        <v>203</v>
      </c>
      <c r="D298" s="2" t="s">
        <v>204</v>
      </c>
      <c r="E298" s="6" t="n">
        <v>1000</v>
      </c>
      <c r="F298" s="7" t="n">
        <v>5</v>
      </c>
      <c r="G298" s="6" t="n">
        <v>34.16</v>
      </c>
      <c r="H298" s="6" t="n">
        <v>22</v>
      </c>
      <c r="I298" s="6" t="n">
        <v>170.8</v>
      </c>
      <c r="J298" s="6" t="n">
        <v>148.8</v>
      </c>
    </row>
    <row collapsed="false" customFormat="false" customHeight="false" hidden="false" ht="12.1" outlineLevel="0" r="299">
      <c r="A299" s="39" t="n">
        <v>45979</v>
      </c>
      <c r="B299" s="2" t="s">
        <v>803</v>
      </c>
      <c r="C299" s="2" t="s">
        <v>170</v>
      </c>
      <c r="D299" s="2" t="s">
        <v>171</v>
      </c>
      <c r="E299" s="6" t="n">
        <v>1000</v>
      </c>
      <c r="F299" s="7" t="n">
        <v>19</v>
      </c>
      <c r="G299" s="6" t="n">
        <v>32.16</v>
      </c>
      <c r="H299" s="6" t="n">
        <v>79</v>
      </c>
      <c r="I299" s="6" t="n">
        <v>611.04</v>
      </c>
      <c r="J299" s="6" t="n">
        <v>532.04</v>
      </c>
    </row>
    <row collapsed="false" customFormat="false" customHeight="false" hidden="false" ht="12.1" outlineLevel="0" r="300">
      <c r="A300" s="39" t="n">
        <v>45979</v>
      </c>
      <c r="B300" s="2" t="s">
        <v>803</v>
      </c>
      <c r="C300" s="2" t="s">
        <v>185</v>
      </c>
      <c r="D300" s="2" t="s">
        <v>186</v>
      </c>
      <c r="E300" s="6" t="n">
        <v>1000</v>
      </c>
      <c r="F300" s="7" t="n">
        <v>10</v>
      </c>
      <c r="G300" s="6" t="n">
        <v>28.42</v>
      </c>
      <c r="H300" s="6" t="n">
        <v>37</v>
      </c>
      <c r="I300" s="6" t="n">
        <v>284.2</v>
      </c>
      <c r="J300" s="6" t="n">
        <v>247.2</v>
      </c>
    </row>
    <row collapsed="false" customFormat="false" customHeight="false" hidden="false" ht="12.1" outlineLevel="0" r="301">
      <c r="A301" s="39" t="n">
        <v>45984</v>
      </c>
      <c r="B301" s="2" t="s">
        <v>803</v>
      </c>
      <c r="C301" s="2" t="s">
        <v>197</v>
      </c>
      <c r="D301" s="2" t="s">
        <v>198</v>
      </c>
      <c r="E301" s="6" t="n">
        <v>1000</v>
      </c>
      <c r="F301" s="7" t="n">
        <v>5</v>
      </c>
      <c r="G301" s="6" t="n">
        <v>59.84</v>
      </c>
      <c r="H301" s="6" t="n">
        <v>39</v>
      </c>
      <c r="I301" s="6" t="n">
        <v>299.2</v>
      </c>
      <c r="J301" s="6" t="n">
        <v>260.2</v>
      </c>
    </row>
    <row collapsed="false" customFormat="false" customHeight="false" hidden="false" ht="12.1" outlineLevel="0" r="302">
      <c r="A302" s="39" t="n">
        <v>45986</v>
      </c>
      <c r="B302" s="2" t="s">
        <v>803</v>
      </c>
      <c r="C302" s="2" t="s">
        <v>164</v>
      </c>
      <c r="D302" s="2" t="s">
        <v>165</v>
      </c>
      <c r="E302" s="6" t="n">
        <v>1000</v>
      </c>
      <c r="F302" s="7" t="n">
        <v>20</v>
      </c>
      <c r="G302" s="6" t="n">
        <v>61.08</v>
      </c>
      <c r="H302" s="6" t="n">
        <v>159</v>
      </c>
      <c r="I302" s="6" t="n">
        <v>1221.6</v>
      </c>
      <c r="J302" s="6" t="n">
        <v>1062.6</v>
      </c>
    </row>
    <row collapsed="false" customFormat="false" customHeight="false" hidden="false" ht="12.1" outlineLevel="0" r="303">
      <c r="A303" s="39" t="n">
        <v>45986</v>
      </c>
      <c r="B303" s="2" t="s">
        <v>803</v>
      </c>
      <c r="C303" s="2" t="s">
        <v>188</v>
      </c>
      <c r="D303" s="2" t="s">
        <v>189</v>
      </c>
      <c r="E303" s="6" t="n">
        <v>1000</v>
      </c>
      <c r="F303" s="7" t="n">
        <v>7</v>
      </c>
      <c r="G303" s="6" t="n">
        <v>11.26</v>
      </c>
      <c r="H303" s="6" t="n">
        <v>10</v>
      </c>
      <c r="I303" s="6" t="n">
        <v>78.82</v>
      </c>
      <c r="J303" s="6" t="n">
        <v>68.82</v>
      </c>
    </row>
    <row collapsed="false" customFormat="false" customHeight="false" hidden="false" ht="12.1" outlineLevel="0" r="304">
      <c r="A304" s="39" t="n">
        <v>45986</v>
      </c>
      <c r="B304" s="2" t="s">
        <v>803</v>
      </c>
      <c r="C304" s="2" t="s">
        <v>161</v>
      </c>
      <c r="D304" s="2" t="s">
        <v>162</v>
      </c>
      <c r="E304" s="6" t="n">
        <v>1000</v>
      </c>
      <c r="F304" s="7" t="n">
        <v>34</v>
      </c>
      <c r="G304" s="6" t="n">
        <v>47.37</v>
      </c>
      <c r="H304" s="6" t="n">
        <v>209</v>
      </c>
      <c r="I304" s="6" t="n">
        <v>1610.58</v>
      </c>
      <c r="J304" s="6" t="n">
        <v>1401.58</v>
      </c>
    </row>
    <row collapsed="false" customFormat="false" customHeight="false" hidden="false" ht="12.1" outlineLevel="0" r="305">
      <c r="A305" s="39" t="n">
        <v>45988</v>
      </c>
      <c r="B305" s="2" t="s">
        <v>803</v>
      </c>
      <c r="C305" s="2" t="s">
        <v>218</v>
      </c>
      <c r="D305" s="2" t="s">
        <v>219</v>
      </c>
      <c r="E305" s="6" t="n">
        <v>1000</v>
      </c>
      <c r="F305" s="7" t="n">
        <v>3</v>
      </c>
      <c r="G305" s="6" t="n">
        <v>24.81</v>
      </c>
      <c r="H305" s="6" t="n">
        <v>10</v>
      </c>
      <c r="I305" s="6" t="n">
        <v>74.43</v>
      </c>
      <c r="J305" s="6" t="n">
        <v>64.43</v>
      </c>
    </row>
    <row collapsed="false" customFormat="false" customHeight="false" hidden="false" ht="12.1" outlineLevel="0" r="306">
      <c r="A306" s="39" t="n">
        <v>45991</v>
      </c>
      <c r="B306" s="2" t="s">
        <v>803</v>
      </c>
      <c r="C306" s="2" t="s">
        <v>221</v>
      </c>
      <c r="D306" s="2" t="s">
        <v>222</v>
      </c>
      <c r="E306" s="6" t="n">
        <v>362.02000000000004</v>
      </c>
      <c r="F306" s="7" t="n">
        <v>7</v>
      </c>
      <c r="G306" s="6" t="n">
        <v>1.96</v>
      </c>
      <c r="H306" s="6" t="n">
        <v>2</v>
      </c>
      <c r="I306" s="6" t="n">
        <v>13.72</v>
      </c>
      <c r="J306" s="6" t="n">
        <v>11.72</v>
      </c>
    </row>
    <row collapsed="false" customFormat="false" customHeight="false" hidden="false" ht="12.1" outlineLevel="0" r="307">
      <c r="A307" s="39" t="n">
        <v>45992</v>
      </c>
      <c r="B307" s="2" t="s">
        <v>803</v>
      </c>
      <c r="C307" s="2" t="s">
        <v>200</v>
      </c>
      <c r="D307" s="2" t="s">
        <v>201</v>
      </c>
      <c r="E307" s="6" t="n">
        <v>1000</v>
      </c>
      <c r="F307" s="7" t="n">
        <v>5</v>
      </c>
      <c r="G307" s="6" t="n">
        <v>56.1</v>
      </c>
      <c r="H307" s="6" t="n">
        <v>36</v>
      </c>
      <c r="I307" s="6" t="n">
        <v>280.5</v>
      </c>
      <c r="J307" s="6" t="n">
        <v>244.5</v>
      </c>
    </row>
    <row collapsed="false" customFormat="false" customHeight="false" hidden="false" ht="12.1" outlineLevel="0" r="308">
      <c r="A308" s="39" t="n">
        <v>45992</v>
      </c>
      <c r="B308" s="2" t="s">
        <v>803</v>
      </c>
      <c r="C308" s="2" t="s">
        <v>233</v>
      </c>
      <c r="D308" s="2" t="s">
        <v>234</v>
      </c>
      <c r="E308" s="6" t="n">
        <v>183.41</v>
      </c>
      <c r="F308" s="7" t="n">
        <v>10</v>
      </c>
      <c r="G308" s="6" t="n">
        <v>1.22</v>
      </c>
      <c r="H308" s="6" t="n">
        <v>2</v>
      </c>
      <c r="I308" s="6" t="n">
        <v>12.2</v>
      </c>
      <c r="J308" s="6" t="n">
        <v>10.2</v>
      </c>
    </row>
    <row collapsed="false" customFormat="false" customHeight="false" hidden="false" ht="12.1" outlineLevel="0" r="309">
      <c r="A309" s="39" t="n">
        <v>45993</v>
      </c>
      <c r="B309" s="2" t="s">
        <v>803</v>
      </c>
      <c r="C309" s="2" t="s">
        <v>143</v>
      </c>
      <c r="D309" s="2" t="s">
        <v>144</v>
      </c>
      <c r="E309" s="6" t="n">
        <v>1000</v>
      </c>
      <c r="F309" s="7" t="n">
        <v>53</v>
      </c>
      <c r="G309" s="6" t="n">
        <v>48.87</v>
      </c>
      <c r="H309" s="6" t="n">
        <v>337</v>
      </c>
      <c r="I309" s="6" t="n">
        <v>2590.11</v>
      </c>
      <c r="J309" s="6" t="n">
        <v>2253.11</v>
      </c>
    </row>
    <row collapsed="false" customFormat="false" customHeight="false" hidden="false" ht="12.1" outlineLevel="0" r="310">
      <c r="A310" s="39" t="n">
        <v>45993</v>
      </c>
      <c r="B310" s="2" t="s">
        <v>803</v>
      </c>
      <c r="C310" s="2" t="s">
        <v>167</v>
      </c>
      <c r="D310" s="2" t="s">
        <v>168</v>
      </c>
      <c r="E310" s="6" t="n">
        <v>1000</v>
      </c>
      <c r="F310" s="7" t="n">
        <v>20</v>
      </c>
      <c r="G310" s="6" t="n">
        <v>61.08</v>
      </c>
      <c r="H310" s="6" t="n">
        <v>159</v>
      </c>
      <c r="I310" s="6" t="n">
        <v>1221.6</v>
      </c>
      <c r="J310" s="6" t="n">
        <v>1062.6</v>
      </c>
    </row>
    <row collapsed="false" customFormat="false" customHeight="false" hidden="false" ht="12.1" outlineLevel="0" r="311">
      <c r="A311" s="39" t="n">
        <v>45993</v>
      </c>
      <c r="B311" s="2" t="s">
        <v>803</v>
      </c>
      <c r="C311" s="2" t="s">
        <v>136</v>
      </c>
      <c r="D311" s="2" t="s">
        <v>138</v>
      </c>
      <c r="E311" s="6" t="n">
        <v>1000</v>
      </c>
      <c r="F311" s="7" t="n">
        <v>88</v>
      </c>
      <c r="G311" s="6" t="n">
        <v>35.4</v>
      </c>
      <c r="H311" s="6" t="n">
        <v>405</v>
      </c>
      <c r="I311" s="6" t="n">
        <v>3115.2</v>
      </c>
      <c r="J311" s="6" t="n">
        <v>2710.2</v>
      </c>
    </row>
    <row collapsed="false" customFormat="false" customHeight="false" hidden="false" ht="12.1" outlineLevel="0" r="312">
      <c r="A312" s="39" t="n">
        <v>45995</v>
      </c>
      <c r="B312" s="2" t="s">
        <v>803</v>
      </c>
      <c r="C312" s="2" t="s">
        <v>194</v>
      </c>
      <c r="D312" s="2" t="s">
        <v>195</v>
      </c>
      <c r="E312" s="6" t="n">
        <v>560</v>
      </c>
      <c r="F312" s="7" t="n">
        <v>10</v>
      </c>
      <c r="G312" s="6" t="n">
        <v>6.31</v>
      </c>
      <c r="H312" s="6" t="n">
        <v>8</v>
      </c>
      <c r="I312" s="6" t="n">
        <v>63.1</v>
      </c>
      <c r="J312" s="6" t="n">
        <v>55.1</v>
      </c>
    </row>
    <row collapsed="false" customFormat="false" customHeight="false" hidden="false" ht="12.1" outlineLevel="0" r="313">
      <c r="A313" s="39" t="n">
        <v>45998</v>
      </c>
      <c r="B313" s="2" t="s">
        <v>803</v>
      </c>
      <c r="C313" s="2" t="s">
        <v>236</v>
      </c>
      <c r="D313" s="2" t="s">
        <v>237</v>
      </c>
      <c r="E313" s="6" t="n">
        <v>1000</v>
      </c>
      <c r="F313" s="7" t="n">
        <v>1</v>
      </c>
      <c r="G313" s="6" t="n">
        <v>81.78</v>
      </c>
      <c r="H313" s="6" t="n">
        <v>11</v>
      </c>
      <c r="I313" s="6" t="n">
        <v>81.78</v>
      </c>
      <c r="J313" s="6" t="n">
        <v>70.78</v>
      </c>
    </row>
    <row collapsed="false" customFormat="false" customHeight="false" hidden="false" ht="12.1" outlineLevel="0" r="314">
      <c r="A314" s="39" t="n">
        <v>46000</v>
      </c>
      <c r="B314" s="2" t="s">
        <v>803</v>
      </c>
      <c r="C314" s="2" t="s">
        <v>242</v>
      </c>
      <c r="D314" s="2" t="s">
        <v>243</v>
      </c>
      <c r="E314" s="6" t="n">
        <v>553.32</v>
      </c>
      <c r="F314" s="7" t="n">
        <v>1</v>
      </c>
      <c r="G314" s="6" t="n">
        <v>27.77</v>
      </c>
      <c r="H314" s="6" t="n">
        <v>4</v>
      </c>
      <c r="I314" s="6" t="n">
        <v>27.77</v>
      </c>
      <c r="J314" s="6" t="n">
        <v>23.77</v>
      </c>
    </row>
    <row collapsed="false" customFormat="false" customHeight="false" hidden="false" ht="12.1" outlineLevel="0" r="315">
      <c r="A315" s="39" t="n">
        <v>46002</v>
      </c>
      <c r="B315" s="2" t="s">
        <v>803</v>
      </c>
      <c r="C315" s="2" t="s">
        <v>173</v>
      </c>
      <c r="D315" s="2" t="s">
        <v>174</v>
      </c>
      <c r="E315" s="6" t="n">
        <v>1000</v>
      </c>
      <c r="F315" s="7" t="n">
        <v>20</v>
      </c>
      <c r="G315" s="6" t="n">
        <v>17.83</v>
      </c>
      <c r="H315" s="6" t="n">
        <v>46</v>
      </c>
      <c r="I315" s="6" t="n">
        <v>356.6</v>
      </c>
      <c r="J315" s="6" t="n">
        <v>310.6</v>
      </c>
    </row>
    <row collapsed="false" customFormat="false" customHeight="false" hidden="false" ht="12.1" outlineLevel="0" r="316">
      <c r="A316" s="39" t="n">
        <v>46009</v>
      </c>
      <c r="B316" s="2" t="s">
        <v>803</v>
      </c>
      <c r="C316" s="2" t="s">
        <v>155</v>
      </c>
      <c r="D316" s="2" t="s">
        <v>156</v>
      </c>
      <c r="E316" s="6" t="n">
        <v>1000</v>
      </c>
      <c r="F316" s="7" t="n">
        <v>31</v>
      </c>
      <c r="G316" s="6" t="n">
        <v>11.18</v>
      </c>
      <c r="H316" s="6" t="n">
        <v>45</v>
      </c>
      <c r="I316" s="6" t="n">
        <v>346.58</v>
      </c>
      <c r="J316" s="6" t="n">
        <v>301.58</v>
      </c>
    </row>
    <row collapsed="false" customFormat="false" customHeight="false" hidden="false" ht="12.1" outlineLevel="0" r="317">
      <c r="A317" s="39" t="n">
        <v>46013</v>
      </c>
      <c r="B317" s="2" t="s">
        <v>803</v>
      </c>
      <c r="C317" s="2" t="s">
        <v>224</v>
      </c>
      <c r="D317" s="2" t="s">
        <v>225</v>
      </c>
      <c r="E317" s="6" t="n">
        <v>1000</v>
      </c>
      <c r="F317" s="7" t="n">
        <v>2</v>
      </c>
      <c r="G317" s="6" t="n">
        <v>31.66</v>
      </c>
      <c r="H317" s="6" t="n">
        <v>8</v>
      </c>
      <c r="I317" s="6" t="n">
        <v>63.32</v>
      </c>
      <c r="J317" s="6" t="n">
        <v>55.32</v>
      </c>
    </row>
    <row collapsed="false" customFormat="false" customHeight="false" hidden="false" ht="12.1" outlineLevel="0" r="318">
      <c r="A318" s="39" t="n">
        <v>46016</v>
      </c>
      <c r="B318" s="2" t="s">
        <v>803</v>
      </c>
      <c r="C318" s="2" t="s">
        <v>188</v>
      </c>
      <c r="D318" s="2" t="s">
        <v>189</v>
      </c>
      <c r="E318" s="6" t="n">
        <v>1000</v>
      </c>
      <c r="F318" s="7" t="n">
        <v>7</v>
      </c>
      <c r="G318" s="6" t="n">
        <v>11.26</v>
      </c>
      <c r="H318" s="6" t="n">
        <v>10</v>
      </c>
      <c r="I318" s="6" t="n">
        <v>78.82</v>
      </c>
      <c r="J318" s="6" t="n">
        <v>68.82</v>
      </c>
    </row>
    <row collapsed="false" customFormat="false" customHeight="false" hidden="false" ht="12.1" outlineLevel="0" r="319">
      <c r="A319" s="39" t="n">
        <v>46022</v>
      </c>
      <c r="B319" s="2" t="s">
        <v>803</v>
      </c>
      <c r="C319" s="2" t="s">
        <v>212</v>
      </c>
      <c r="D319" s="2" t="s">
        <v>213</v>
      </c>
      <c r="E319" s="6" t="n">
        <v>1000</v>
      </c>
      <c r="F319" s="7" t="n">
        <v>4</v>
      </c>
      <c r="G319" s="6" t="n">
        <v>29.42</v>
      </c>
      <c r="H319" s="6" t="n">
        <v>15</v>
      </c>
      <c r="I319" s="6" t="n">
        <v>117.68</v>
      </c>
      <c r="J319" s="6" t="n">
        <v>102.68</v>
      </c>
    </row>
    <row collapsed="false" customFormat="false" customHeight="false" hidden="false" ht="12.1" outlineLevel="0" r="320">
      <c r="A320" s="39" t="n">
        <v>46022</v>
      </c>
      <c r="B320" s="2" t="s">
        <v>803</v>
      </c>
      <c r="C320" s="2" t="s">
        <v>221</v>
      </c>
      <c r="D320" s="2" t="s">
        <v>222</v>
      </c>
      <c r="E320" s="6" t="n">
        <v>362.02000000000004</v>
      </c>
      <c r="F320" s="7" t="n">
        <v>7</v>
      </c>
      <c r="G320" s="6" t="n">
        <v>1.84</v>
      </c>
      <c r="H320" s="6" t="n">
        <v>2</v>
      </c>
      <c r="I320" s="6" t="n">
        <v>12.88</v>
      </c>
      <c r="J320" s="6" t="n">
        <v>10.88</v>
      </c>
    </row>
    <row collapsed="false" customFormat="false" customHeight="false" hidden="false" ht="12.1" outlineLevel="0" r="321">
      <c r="A321" s="39" t="n">
        <v>46023</v>
      </c>
      <c r="B321" s="2" t="s">
        <v>803</v>
      </c>
      <c r="C321" s="2" t="s">
        <v>233</v>
      </c>
      <c r="D321" s="2" t="s">
        <v>234</v>
      </c>
      <c r="E321" s="6" t="n">
        <v>183.41</v>
      </c>
      <c r="F321" s="7" t="n">
        <v>10</v>
      </c>
      <c r="G321" s="6" t="n">
        <v>1.05</v>
      </c>
      <c r="H321" s="6" t="n">
        <v>1</v>
      </c>
      <c r="I321" s="6" t="n">
        <v>10.5</v>
      </c>
      <c r="J321" s="6" t="n">
        <v>9.5</v>
      </c>
    </row>
    <row collapsed="false" customFormat="false" customHeight="false" hidden="false" ht="12.1" outlineLevel="0" r="322">
      <c r="A322" s="39" t="n">
        <v>46025</v>
      </c>
      <c r="B322" s="2" t="s">
        <v>803</v>
      </c>
      <c r="C322" s="2" t="s">
        <v>194</v>
      </c>
      <c r="D322" s="2" t="s">
        <v>195</v>
      </c>
      <c r="E322" s="6" t="n">
        <v>560</v>
      </c>
      <c r="F322" s="7" t="n">
        <v>10</v>
      </c>
      <c r="G322" s="6" t="n">
        <v>5.79</v>
      </c>
      <c r="H322" s="6" t="n">
        <v>8</v>
      </c>
      <c r="I322" s="6" t="n">
        <v>57.9</v>
      </c>
      <c r="J322" s="6" t="n">
        <v>49.9</v>
      </c>
    </row>
    <row collapsed="false" customFormat="false" customHeight="false" hidden="false" ht="12.1" outlineLevel="0" r="323">
      <c r="A323" s="39" t="n">
        <v>46039</v>
      </c>
      <c r="B323" s="2" t="s">
        <v>803</v>
      </c>
      <c r="C323" s="2" t="s">
        <v>155</v>
      </c>
      <c r="D323" s="2" t="s">
        <v>156</v>
      </c>
      <c r="E323" s="6" t="n">
        <v>1000</v>
      </c>
      <c r="F323" s="7" t="n">
        <v>31</v>
      </c>
      <c r="G323" s="6" t="n">
        <v>11.18</v>
      </c>
      <c r="H323" s="6" t="n">
        <v>45</v>
      </c>
      <c r="I323" s="6" t="n">
        <v>346.58</v>
      </c>
      <c r="J323" s="6" t="n">
        <v>301.58</v>
      </c>
    </row>
    <row collapsed="false" customFormat="false" customHeight="false" hidden="false" ht="12.1" outlineLevel="0" r="324">
      <c r="A324" s="39" t="n">
        <v>46043</v>
      </c>
      <c r="B324" s="2" t="s">
        <v>803</v>
      </c>
      <c r="C324" s="2" t="s">
        <v>182</v>
      </c>
      <c r="D324" s="2" t="s">
        <v>183</v>
      </c>
      <c r="E324" s="6" t="n">
        <v>1000</v>
      </c>
      <c r="F324" s="7" t="n">
        <v>12</v>
      </c>
      <c r="G324" s="6" t="n">
        <v>16.83</v>
      </c>
      <c r="H324" s="6" t="n">
        <v>26</v>
      </c>
      <c r="I324" s="6" t="n">
        <v>201.96</v>
      </c>
      <c r="J324" s="6" t="n">
        <v>175.96</v>
      </c>
    </row>
    <row collapsed="false" customFormat="false" customHeight="false" hidden="false" ht="12.1" outlineLevel="0" r="325">
      <c r="A325" s="39" t="n">
        <v>46043</v>
      </c>
      <c r="B325" s="2" t="s">
        <v>803</v>
      </c>
      <c r="C325" s="2" t="s">
        <v>209</v>
      </c>
      <c r="D325" s="2" t="s">
        <v>210</v>
      </c>
      <c r="E325" s="6" t="n">
        <v>1000</v>
      </c>
      <c r="F325" s="7" t="n">
        <v>4</v>
      </c>
      <c r="G325" s="6" t="n">
        <v>79.78</v>
      </c>
      <c r="H325" s="6" t="n">
        <v>41</v>
      </c>
      <c r="I325" s="6" t="n">
        <v>319.12</v>
      </c>
      <c r="J325" s="6" t="n">
        <v>278.12</v>
      </c>
    </row>
    <row collapsed="false" customFormat="false" customHeight="false" hidden="false" ht="12.1" outlineLevel="0" r="326">
      <c r="A326" s="39" t="n">
        <v>46046</v>
      </c>
      <c r="B326" s="2" t="s">
        <v>803</v>
      </c>
      <c r="C326" s="2" t="s">
        <v>188</v>
      </c>
      <c r="D326" s="2" t="s">
        <v>189</v>
      </c>
      <c r="E326" s="6" t="n">
        <v>1000</v>
      </c>
      <c r="F326" s="7" t="n">
        <v>7</v>
      </c>
      <c r="G326" s="6" t="n">
        <v>11.26</v>
      </c>
      <c r="H326" s="6" t="n">
        <v>10</v>
      </c>
      <c r="I326" s="6" t="n">
        <v>78.82</v>
      </c>
      <c r="J326" s="6" t="n">
        <v>68.82</v>
      </c>
    </row>
    <row collapsed="false" customFormat="false" customHeight="false" hidden="false" ht="12.1" outlineLevel="0" r="327">
      <c r="A327" s="39" t="n">
        <v>46051</v>
      </c>
      <c r="B327" s="2" t="s">
        <v>803</v>
      </c>
      <c r="C327" s="2" t="s">
        <v>191</v>
      </c>
      <c r="D327" s="2" t="s">
        <v>192</v>
      </c>
      <c r="E327" s="6" t="n">
        <v>1000</v>
      </c>
      <c r="F327" s="7" t="n">
        <v>5</v>
      </c>
      <c r="G327" s="6" t="n">
        <v>64.82</v>
      </c>
      <c r="H327" s="6" t="n">
        <v>42</v>
      </c>
      <c r="I327" s="6" t="n">
        <v>324.1</v>
      </c>
      <c r="J327" s="6" t="n">
        <v>282.1</v>
      </c>
    </row>
    <row collapsed="false" customFormat="false" customHeight="false" hidden="false" ht="12.1" outlineLevel="0" r="328">
      <c r="A328" s="39" t="n">
        <v>46053</v>
      </c>
      <c r="B328" s="2" t="s">
        <v>803</v>
      </c>
      <c r="C328" s="2" t="s">
        <v>221</v>
      </c>
      <c r="D328" s="2" t="s">
        <v>222</v>
      </c>
      <c r="E328" s="6" t="n">
        <v>362.02000000000004</v>
      </c>
      <c r="F328" s="7" t="n">
        <v>7</v>
      </c>
      <c r="G328" s="6" t="n">
        <v>1.66</v>
      </c>
      <c r="H328" s="6" t="n">
        <v>2</v>
      </c>
      <c r="I328" s="6" t="n">
        <v>11.62</v>
      </c>
      <c r="J328" s="6" t="n">
        <v>9.62</v>
      </c>
    </row>
    <row collapsed="false" customFormat="false" customHeight="false" hidden="false" ht="12.1" outlineLevel="0" r="329">
      <c r="A329" s="39" t="n">
        <v>46054</v>
      </c>
      <c r="B329" s="2" t="s">
        <v>803</v>
      </c>
      <c r="C329" s="2" t="s">
        <v>233</v>
      </c>
      <c r="D329" s="2" t="s">
        <v>234</v>
      </c>
      <c r="E329" s="6" t="n">
        <v>183.41</v>
      </c>
      <c r="F329" s="7" t="n">
        <v>10</v>
      </c>
      <c r="G329" s="6" t="n">
        <v>0.85</v>
      </c>
      <c r="H329" s="6" t="n">
        <v>1</v>
      </c>
      <c r="I329" s="6" t="n">
        <v>8.5</v>
      </c>
      <c r="J329" s="6" t="n">
        <v>7.5</v>
      </c>
    </row>
    <row collapsed="false" customFormat="false" customHeight="false" hidden="false" ht="12.1" outlineLevel="0" r="330">
      <c r="A330" s="39" t="n">
        <v>46055</v>
      </c>
      <c r="B330" s="2" t="s">
        <v>803</v>
      </c>
      <c r="C330" s="2" t="s">
        <v>194</v>
      </c>
      <c r="D330" s="2" t="s">
        <v>195</v>
      </c>
      <c r="E330" s="6" t="n">
        <v>560</v>
      </c>
      <c r="F330" s="7" t="n">
        <v>10</v>
      </c>
      <c r="G330" s="6" t="n">
        <v>5.26</v>
      </c>
      <c r="H330" s="6" t="n">
        <v>7</v>
      </c>
      <c r="I330" s="6" t="n">
        <v>52.6</v>
      </c>
      <c r="J330" s="6" t="n">
        <v>45.6</v>
      </c>
    </row>
    <row collapsed="false" customFormat="false" customHeight="false" hidden="false" ht="12.1" outlineLevel="0" r="331">
      <c r="A331" s="39" t="n">
        <v>46063</v>
      </c>
      <c r="B331" s="2" t="s">
        <v>803</v>
      </c>
      <c r="C331" s="2" t="s">
        <v>140</v>
      </c>
      <c r="D331" s="2" t="s">
        <v>141</v>
      </c>
      <c r="E331" s="6" t="n">
        <v>1000</v>
      </c>
      <c r="F331" s="7" t="n">
        <v>80</v>
      </c>
      <c r="G331" s="6" t="n">
        <v>34.9</v>
      </c>
      <c r="H331" s="6" t="n">
        <v>363</v>
      </c>
      <c r="I331" s="6" t="n">
        <v>2792</v>
      </c>
      <c r="J331" s="6" t="n">
        <v>2429</v>
      </c>
    </row>
    <row collapsed="false" customFormat="false" customHeight="false" hidden="false" ht="12.1" outlineLevel="0" r="332">
      <c r="A332" s="39" t="n">
        <v>46064</v>
      </c>
      <c r="B332" s="2" t="s">
        <v>803</v>
      </c>
      <c r="C332" s="2" t="s">
        <v>215</v>
      </c>
      <c r="D332" s="2" t="s">
        <v>216</v>
      </c>
      <c r="E332" s="6" t="n">
        <v>800</v>
      </c>
      <c r="F332" s="7" t="n">
        <v>5</v>
      </c>
      <c r="G332" s="6" t="n">
        <v>27.92</v>
      </c>
      <c r="H332" s="6" t="n">
        <v>18</v>
      </c>
      <c r="I332" s="6" t="n">
        <v>139.6</v>
      </c>
      <c r="J332" s="6" t="n">
        <v>121.6</v>
      </c>
    </row>
    <row collapsed="false" customFormat="false" customHeight="false" hidden="false" ht="12.1" outlineLevel="0" r="333">
      <c r="A333" s="39" t="n">
        <v>46065</v>
      </c>
      <c r="B333" s="2" t="s">
        <v>803</v>
      </c>
      <c r="C333" s="2" t="s">
        <v>227</v>
      </c>
      <c r="D333" s="2" t="s">
        <v>228</v>
      </c>
      <c r="E333" s="6" t="n">
        <v>1000</v>
      </c>
      <c r="F333" s="7" t="n">
        <v>2</v>
      </c>
      <c r="G333" s="6" t="n">
        <v>66.32</v>
      </c>
      <c r="H333" s="6" t="n">
        <v>17</v>
      </c>
      <c r="I333" s="6" t="n">
        <v>132.64</v>
      </c>
      <c r="J333" s="6" t="n">
        <v>115.64</v>
      </c>
    </row>
    <row collapsed="false" customFormat="false" customHeight="false" hidden="false" ht="12.1" outlineLevel="0" r="334">
      <c r="A334" s="39" t="n">
        <v>46069</v>
      </c>
      <c r="B334" s="2" t="s">
        <v>803</v>
      </c>
      <c r="C334" s="2" t="s">
        <v>155</v>
      </c>
      <c r="D334" s="2" t="s">
        <v>156</v>
      </c>
      <c r="E334" s="6" t="n">
        <v>1000</v>
      </c>
      <c r="F334" s="7" t="n">
        <v>31</v>
      </c>
      <c r="G334" s="6" t="n">
        <v>11.18</v>
      </c>
      <c r="H334" s="6" t="n">
        <v>45</v>
      </c>
      <c r="I334" s="6" t="n">
        <v>346.58</v>
      </c>
      <c r="J334" s="6" t="n">
        <v>301.58</v>
      </c>
    </row>
    <row collapsed="false" customFormat="false" customHeight="false" hidden="false" ht="12.1" outlineLevel="0" r="335">
      <c r="A335" s="39" t="n">
        <v>46070</v>
      </c>
      <c r="B335" s="2" t="s">
        <v>803</v>
      </c>
      <c r="C335" s="2" t="s">
        <v>203</v>
      </c>
      <c r="D335" s="2" t="s">
        <v>204</v>
      </c>
      <c r="E335" s="6" t="n">
        <v>1000</v>
      </c>
      <c r="F335" s="7" t="n">
        <v>5</v>
      </c>
      <c r="G335" s="6" t="n">
        <v>34.16</v>
      </c>
      <c r="H335" s="6" t="n">
        <v>22</v>
      </c>
      <c r="I335" s="6" t="n">
        <v>170.8</v>
      </c>
      <c r="J335" s="6" t="n">
        <v>148.8</v>
      </c>
    </row>
    <row collapsed="false" customFormat="false" customHeight="false" hidden="false" ht="12.1" outlineLevel="0" r="336">
      <c r="A336" s="39" t="n">
        <v>46070</v>
      </c>
      <c r="B336" s="2" t="s">
        <v>803</v>
      </c>
      <c r="C336" s="2" t="s">
        <v>170</v>
      </c>
      <c r="D336" s="2" t="s">
        <v>171</v>
      </c>
      <c r="E336" s="6" t="n">
        <v>1000</v>
      </c>
      <c r="F336" s="7" t="n">
        <v>19</v>
      </c>
      <c r="G336" s="6" t="n">
        <v>32.16</v>
      </c>
      <c r="H336" s="6" t="n">
        <v>79</v>
      </c>
      <c r="I336" s="6" t="n">
        <v>611.04</v>
      </c>
      <c r="J336" s="6" t="n">
        <v>532.04</v>
      </c>
    </row>
    <row collapsed="false" customFormat="false" customHeight="false" hidden="false" ht="12.1" outlineLevel="0" r="337">
      <c r="A337" s="39" t="n">
        <v>46075</v>
      </c>
      <c r="B337" s="2" t="s">
        <v>803</v>
      </c>
      <c r="C337" s="2" t="s">
        <v>197</v>
      </c>
      <c r="D337" s="2" t="s">
        <v>198</v>
      </c>
      <c r="E337" s="6" t="n">
        <v>1000</v>
      </c>
      <c r="F337" s="7" t="n">
        <v>5</v>
      </c>
      <c r="G337" s="6" t="n">
        <v>59.84</v>
      </c>
      <c r="H337" s="6" t="n">
        <v>39</v>
      </c>
      <c r="I337" s="6" t="n">
        <v>299.2</v>
      </c>
      <c r="J337" s="6" t="n">
        <v>260.2</v>
      </c>
    </row>
    <row collapsed="false" customFormat="false" customHeight="false" hidden="false" ht="12.1" outlineLevel="0" r="338">
      <c r="A338" s="39" t="n">
        <v>46076</v>
      </c>
      <c r="B338" s="2" t="s">
        <v>803</v>
      </c>
      <c r="C338" s="2" t="s">
        <v>188</v>
      </c>
      <c r="D338" s="2" t="s">
        <v>189</v>
      </c>
      <c r="E338" s="6" t="n">
        <v>1000</v>
      </c>
      <c r="F338" s="7" t="n">
        <v>7</v>
      </c>
      <c r="G338" s="6" t="n">
        <v>11.26</v>
      </c>
      <c r="H338" s="6" t="n">
        <v>10</v>
      </c>
      <c r="I338" s="6" t="n">
        <v>78.82</v>
      </c>
      <c r="J338" s="6" t="n">
        <v>68.82</v>
      </c>
    </row>
    <row collapsed="false" customFormat="false" customHeight="false" hidden="false" ht="12.1" outlineLevel="0" r="339">
      <c r="A339" s="39" t="n">
        <v>46079</v>
      </c>
      <c r="B339" s="2" t="s">
        <v>803</v>
      </c>
      <c r="C339" s="2" t="s">
        <v>218</v>
      </c>
      <c r="D339" s="2" t="s">
        <v>219</v>
      </c>
      <c r="E339" s="6" t="n">
        <v>1000</v>
      </c>
      <c r="F339" s="7" t="n">
        <v>3</v>
      </c>
      <c r="G339" s="6" t="n">
        <v>24.81</v>
      </c>
      <c r="H339" s="6" t="n">
        <v>10</v>
      </c>
      <c r="I339" s="6" t="n">
        <v>74.43</v>
      </c>
      <c r="J339" s="6" t="n">
        <v>64.43</v>
      </c>
    </row>
    <row collapsed="false" customFormat="false" customHeight="false" hidden="false" ht="12.1" outlineLevel="0" r="340">
      <c r="A340" s="39" t="n">
        <v>46081</v>
      </c>
      <c r="B340" s="2" t="s">
        <v>803</v>
      </c>
      <c r="C340" s="2" t="s">
        <v>221</v>
      </c>
      <c r="D340" s="2" t="s">
        <v>222</v>
      </c>
      <c r="E340" s="6" t="n">
        <v>362.02000000000004</v>
      </c>
      <c r="F340" s="7" t="n">
        <v>7</v>
      </c>
      <c r="G340" s="6" t="n">
        <v>1.34</v>
      </c>
      <c r="H340" s="6" t="n">
        <v>1</v>
      </c>
      <c r="I340" s="6" t="n">
        <v>9.38</v>
      </c>
      <c r="J340" s="6" t="n">
        <v>8.38</v>
      </c>
    </row>
    <row collapsed="false" customFormat="false" customHeight="false" hidden="false" ht="12.1" outlineLevel="0" r="341">
      <c r="A341" s="39" t="n">
        <v>46082</v>
      </c>
      <c r="B341" s="2" t="s">
        <v>803</v>
      </c>
      <c r="C341" s="2" t="s">
        <v>233</v>
      </c>
      <c r="D341" s="2" t="s">
        <v>234</v>
      </c>
      <c r="E341" s="6" t="n">
        <v>183.41</v>
      </c>
      <c r="F341" s="7" t="n">
        <v>10</v>
      </c>
      <c r="G341" s="6" t="n">
        <v>0.59</v>
      </c>
      <c r="H341" s="6" t="n">
        <v>1</v>
      </c>
      <c r="I341" s="6" t="n">
        <v>5.9</v>
      </c>
      <c r="J341" s="6" t="n">
        <v>4.9</v>
      </c>
    </row>
    <row collapsed="false" customFormat="false" customHeight="false" hidden="false" ht="12.1" outlineLevel="0" r="342">
      <c r="A342" s="39" t="n">
        <v>46084</v>
      </c>
      <c r="B342" s="2" t="s">
        <v>803</v>
      </c>
      <c r="C342" s="2" t="s">
        <v>206</v>
      </c>
      <c r="D342" s="2" t="s">
        <v>207</v>
      </c>
      <c r="E342" s="6" t="n">
        <v>1000</v>
      </c>
      <c r="F342" s="7" t="n">
        <v>5</v>
      </c>
      <c r="G342" s="6" t="n">
        <v>46.12</v>
      </c>
      <c r="H342" s="6" t="n">
        <v>30</v>
      </c>
      <c r="I342" s="6" t="n">
        <v>230.6</v>
      </c>
      <c r="J342" s="6" t="n">
        <v>200.6</v>
      </c>
    </row>
    <row collapsed="false" customFormat="false" customHeight="false" hidden="false" ht="12.1" outlineLevel="0" r="343">
      <c r="A343" s="39" t="n">
        <v>46085</v>
      </c>
      <c r="B343" s="2" t="s">
        <v>803</v>
      </c>
      <c r="C343" s="2" t="s">
        <v>194</v>
      </c>
      <c r="D343" s="2" t="s">
        <v>195</v>
      </c>
      <c r="E343" s="6" t="n">
        <v>560</v>
      </c>
      <c r="F343" s="7" t="n">
        <v>10</v>
      </c>
      <c r="G343" s="6" t="n">
        <v>4.73</v>
      </c>
      <c r="H343" s="6" t="n">
        <v>6</v>
      </c>
      <c r="I343" s="6" t="n">
        <v>47.3</v>
      </c>
      <c r="J343" s="6" t="n">
        <v>41.3</v>
      </c>
    </row>
    <row collapsed="false" customFormat="false" customHeight="false" hidden="false" ht="12.1" outlineLevel="0" r="344">
      <c r="A344" s="39" t="n">
        <v>46091</v>
      </c>
      <c r="B344" s="2" t="s">
        <v>803</v>
      </c>
      <c r="C344" s="2" t="s">
        <v>242</v>
      </c>
      <c r="D344" s="2" t="s">
        <v>243</v>
      </c>
      <c r="E344" s="6" t="n">
        <v>553.32</v>
      </c>
      <c r="F344" s="7" t="n">
        <v>1</v>
      </c>
      <c r="G344" s="6" t="n">
        <v>31</v>
      </c>
      <c r="H344" s="6" t="n">
        <v>4</v>
      </c>
      <c r="I344" s="6" t="n">
        <v>31</v>
      </c>
      <c r="J344" s="6" t="n">
        <v>27</v>
      </c>
    </row>
    <row collapsed="false" customFormat="false" customHeight="false" hidden="false" ht="12.1" outlineLevel="0" r="345">
      <c r="A345" s="39" t="n">
        <v>46093</v>
      </c>
      <c r="B345" s="2" t="s">
        <v>803</v>
      </c>
      <c r="C345" s="2" t="s">
        <v>173</v>
      </c>
      <c r="D345" s="2" t="s">
        <v>174</v>
      </c>
      <c r="E345" s="6" t="n">
        <v>1000</v>
      </c>
      <c r="F345" s="7" t="n">
        <v>20</v>
      </c>
      <c r="G345" s="6" t="n">
        <v>17.83</v>
      </c>
      <c r="H345" s="6" t="n">
        <v>46</v>
      </c>
      <c r="I345" s="6" t="n">
        <v>356.6</v>
      </c>
      <c r="J345" s="6" t="n">
        <v>310.6</v>
      </c>
    </row>
    <row collapsed="false" customFormat="false" customHeight="false" hidden="false" ht="12.1" outlineLevel="0" r="346">
      <c r="A346" s="39" t="n">
        <v>46098</v>
      </c>
      <c r="B346" s="2" t="s">
        <v>803</v>
      </c>
      <c r="C346" s="2" t="s">
        <v>158</v>
      </c>
      <c r="D346" s="2" t="s">
        <v>159</v>
      </c>
      <c r="E346" s="6" t="n">
        <v>1000</v>
      </c>
      <c r="F346" s="7" t="n">
        <v>34</v>
      </c>
      <c r="G346" s="6" t="n">
        <v>33.41</v>
      </c>
      <c r="H346" s="6" t="n">
        <v>148</v>
      </c>
      <c r="I346" s="6" t="n">
        <v>1135.94</v>
      </c>
      <c r="J346" s="6" t="n">
        <v>987.94</v>
      </c>
    </row>
    <row collapsed="false" customFormat="false" customHeight="false" hidden="false" ht="12.1" outlineLevel="0" r="347">
      <c r="A347" s="39" t="n">
        <v>46098</v>
      </c>
      <c r="B347" s="2" t="s">
        <v>803</v>
      </c>
      <c r="C347" s="2" t="s">
        <v>176</v>
      </c>
      <c r="D347" s="2" t="s">
        <v>177</v>
      </c>
      <c r="E347" s="6" t="n">
        <v>1000</v>
      </c>
      <c r="F347" s="7" t="n">
        <v>15</v>
      </c>
      <c r="G347" s="6" t="n">
        <v>38.64</v>
      </c>
      <c r="H347" s="6" t="n">
        <v>75</v>
      </c>
      <c r="I347" s="6" t="n">
        <v>579.6</v>
      </c>
      <c r="J347" s="6" t="n">
        <v>504.6</v>
      </c>
    </row>
    <row collapsed="false" customFormat="false" customHeight="false" hidden="false" ht="12.1" outlineLevel="0" r="348">
      <c r="A348" s="39" t="n">
        <v>46099</v>
      </c>
      <c r="B348" s="2" t="s">
        <v>803</v>
      </c>
      <c r="C348" s="2" t="s">
        <v>155</v>
      </c>
      <c r="D348" s="2" t="s">
        <v>156</v>
      </c>
      <c r="E348" s="6" t="n">
        <v>1000</v>
      </c>
      <c r="F348" s="7" t="n">
        <v>31</v>
      </c>
      <c r="G348" s="6" t="n">
        <v>11.18</v>
      </c>
      <c r="H348" s="6" t="n">
        <v>45</v>
      </c>
      <c r="I348" s="6" t="n">
        <v>346.58</v>
      </c>
      <c r="J348" s="6" t="n">
        <v>301.58</v>
      </c>
    </row>
    <row collapsed="false" customFormat="false" customHeight="false" hidden="false" ht="12.1" outlineLevel="0" r="349">
      <c r="A349" s="39" t="n">
        <v>46105</v>
      </c>
      <c r="B349" s="2" t="s">
        <v>803</v>
      </c>
      <c r="C349" s="2" t="s">
        <v>152</v>
      </c>
      <c r="D349" s="2" t="s">
        <v>153</v>
      </c>
      <c r="E349" s="6" t="n">
        <v>1000</v>
      </c>
      <c r="F349" s="7" t="n">
        <v>34</v>
      </c>
      <c r="G349" s="6" t="n">
        <v>59.84</v>
      </c>
      <c r="H349" s="6" t="n">
        <v>264</v>
      </c>
      <c r="I349" s="6" t="n">
        <v>2034.56</v>
      </c>
      <c r="J349" s="6" t="n">
        <v>1770.56</v>
      </c>
    </row>
    <row collapsed="false" customFormat="false" customHeight="false" hidden="false" ht="12.1" outlineLevel="0" r="350">
      <c r="A350" s="39" t="n">
        <v>46105</v>
      </c>
      <c r="B350" s="2" t="s">
        <v>803</v>
      </c>
      <c r="C350" s="2" t="s">
        <v>146</v>
      </c>
      <c r="D350" s="2" t="s">
        <v>147</v>
      </c>
      <c r="E350" s="6" t="n">
        <v>1000</v>
      </c>
      <c r="F350" s="7" t="n">
        <v>40</v>
      </c>
      <c r="G350" s="6" t="n">
        <v>56.1</v>
      </c>
      <c r="H350" s="6" t="n">
        <v>292</v>
      </c>
      <c r="I350" s="6" t="n">
        <v>2244</v>
      </c>
      <c r="J350" s="6" t="n">
        <v>1952</v>
      </c>
    </row>
    <row collapsed="false" customFormat="false" customHeight="false" hidden="false" ht="12.1" outlineLevel="0" r="351">
      <c r="A351" s="39" t="n">
        <v>46106</v>
      </c>
      <c r="B351" s="2" t="s">
        <v>803</v>
      </c>
      <c r="C351" s="2" t="s">
        <v>188</v>
      </c>
      <c r="D351" s="2" t="s">
        <v>189</v>
      </c>
      <c r="E351" s="6" t="n">
        <v>1000</v>
      </c>
      <c r="F351" s="7" t="n">
        <v>7</v>
      </c>
      <c r="G351" s="6" t="n">
        <v>11.26</v>
      </c>
      <c r="H351" s="6" t="n">
        <v>10</v>
      </c>
      <c r="I351" s="6" t="n">
        <v>78.82</v>
      </c>
      <c r="J351" s="6" t="n">
        <v>68.82</v>
      </c>
    </row>
    <row collapsed="false" customFormat="false" customHeight="false" hidden="false" ht="12.1" outlineLevel="0" r="352">
      <c r="A352" s="39" t="n">
        <v>46112</v>
      </c>
      <c r="B352" s="2" t="s">
        <v>803</v>
      </c>
      <c r="C352" s="2" t="s">
        <v>149</v>
      </c>
      <c r="D352" s="2" t="s">
        <v>150</v>
      </c>
      <c r="E352" s="6" t="n">
        <v>1000</v>
      </c>
      <c r="F352" s="7" t="n">
        <v>45</v>
      </c>
      <c r="G352" s="6" t="n">
        <v>38.39</v>
      </c>
      <c r="H352" s="6" t="n">
        <v>225</v>
      </c>
      <c r="I352" s="6" t="n">
        <v>1727.55</v>
      </c>
      <c r="J352" s="6" t="n">
        <v>1502.55</v>
      </c>
    </row>
    <row collapsed="false" customFormat="false" customHeight="false" hidden="false" ht="12.1" outlineLevel="0" r="353">
      <c r="A353" s="39" t="n">
        <v>46112</v>
      </c>
      <c r="B353" s="2" t="s">
        <v>803</v>
      </c>
      <c r="C353" s="2" t="s">
        <v>221</v>
      </c>
      <c r="D353" s="2" t="s">
        <v>222</v>
      </c>
      <c r="E353" s="6" t="n">
        <v>362.02000000000004</v>
      </c>
      <c r="F353" s="7" t="n">
        <v>7</v>
      </c>
      <c r="G353" s="6" t="n">
        <v>1.32</v>
      </c>
      <c r="H353" s="6" t="n">
        <v>1</v>
      </c>
      <c r="I353" s="6" t="n">
        <v>9.24</v>
      </c>
      <c r="J353" s="6" t="n">
        <v>8.24</v>
      </c>
    </row>
    <row collapsed="false" customFormat="false" customHeight="false" hidden="false" ht="12.1" outlineLevel="0" r="354">
      <c r="A354" s="39" t="n">
        <v>46113</v>
      </c>
      <c r="B354" s="2" t="s">
        <v>803</v>
      </c>
      <c r="C354" s="2" t="s">
        <v>233</v>
      </c>
      <c r="D354" s="2" t="s">
        <v>234</v>
      </c>
      <c r="E354" s="6" t="n">
        <v>183.41</v>
      </c>
      <c r="F354" s="7" t="n">
        <v>10</v>
      </c>
      <c r="G354" s="6" t="n">
        <v>2.79</v>
      </c>
      <c r="H354" s="6" t="n">
        <v>4</v>
      </c>
      <c r="I354" s="6" t="n">
        <v>27.9</v>
      </c>
      <c r="J354" s="6" t="n">
        <v>23.9</v>
      </c>
    </row>
    <row collapsed="false" customFormat="false" customHeight="false" hidden="false" ht="12.1" outlineLevel="0" r="355">
      <c r="A355" s="39" t="n">
        <v>46113</v>
      </c>
      <c r="B355" s="2" t="s">
        <v>803</v>
      </c>
      <c r="C355" s="2" t="s">
        <v>212</v>
      </c>
      <c r="D355" s="2" t="s">
        <v>213</v>
      </c>
      <c r="E355" s="6" t="n">
        <v>1000</v>
      </c>
      <c r="F355" s="7" t="n">
        <v>4</v>
      </c>
      <c r="G355" s="6" t="n">
        <v>29.42</v>
      </c>
      <c r="H355" s="6" t="n">
        <v>15</v>
      </c>
      <c r="I355" s="6" t="n">
        <v>117.68</v>
      </c>
      <c r="J355" s="6" t="n">
        <v>102.68</v>
      </c>
    </row>
    <row collapsed="false" customFormat="false" customHeight="false" hidden="false" ht="12.1" outlineLevel="0" r="356">
      <c r="A356" s="39" t="n">
        <v>46115</v>
      </c>
      <c r="B356" s="2" t="s">
        <v>803</v>
      </c>
      <c r="C356" s="2" t="s">
        <v>194</v>
      </c>
      <c r="D356" s="2" t="s">
        <v>195</v>
      </c>
      <c r="E356" s="6" t="n">
        <v>560</v>
      </c>
      <c r="F356" s="7" t="n">
        <v>10</v>
      </c>
      <c r="G356" s="6" t="n">
        <v>4.21</v>
      </c>
      <c r="H356" s="6" t="n">
        <v>5</v>
      </c>
      <c r="I356" s="6" t="n">
        <v>42.1</v>
      </c>
      <c r="J356" s="6" t="n">
        <v>37.1</v>
      </c>
    </row>
    <row collapsed="false" customFormat="false" customHeight="false" hidden="false" ht="12.1" outlineLevel="0" r="357">
      <c r="A357" s="39" t="n">
        <v>46129</v>
      </c>
      <c r="B357" s="2" t="s">
        <v>803</v>
      </c>
      <c r="C357" s="2" t="s">
        <v>155</v>
      </c>
      <c r="D357" s="2" t="s">
        <v>156</v>
      </c>
      <c r="E357" s="6" t="n">
        <v>1000</v>
      </c>
      <c r="F357" s="7" t="n">
        <v>31</v>
      </c>
      <c r="G357" s="6" t="n">
        <v>11.18</v>
      </c>
      <c r="H357" s="6" t="n">
        <v>45</v>
      </c>
      <c r="I357" s="6" t="n">
        <v>346.58</v>
      </c>
      <c r="J357" s="6" t="n">
        <v>301.58</v>
      </c>
    </row>
    <row collapsed="false" customFormat="false" customHeight="false" hidden="false" ht="12.1" outlineLevel="0" r="358">
      <c r="A358" s="39" t="n">
        <v>46134</v>
      </c>
      <c r="B358" s="2" t="s">
        <v>803</v>
      </c>
      <c r="C358" s="2" t="s">
        <v>209</v>
      </c>
      <c r="D358" s="2" t="s">
        <v>210</v>
      </c>
      <c r="E358" s="6" t="n">
        <v>1000</v>
      </c>
      <c r="F358" s="7" t="n">
        <v>4</v>
      </c>
      <c r="G358" s="6" t="n">
        <v>79.78</v>
      </c>
      <c r="H358" s="6" t="n">
        <v>41</v>
      </c>
      <c r="I358" s="6" t="n">
        <v>319.12</v>
      </c>
      <c r="J358" s="6" t="n">
        <v>278.12</v>
      </c>
    </row>
    <row collapsed="false" customFormat="false" customHeight="false" hidden="false" ht="12.1" outlineLevel="0" r="359">
      <c r="A359" s="39" t="n">
        <v>46134</v>
      </c>
      <c r="B359" s="2" t="s">
        <v>803</v>
      </c>
      <c r="C359" s="2" t="s">
        <v>182</v>
      </c>
      <c r="D359" s="2" t="s">
        <v>183</v>
      </c>
      <c r="E359" s="6" t="n">
        <v>1000</v>
      </c>
      <c r="F359" s="7" t="n">
        <v>12</v>
      </c>
      <c r="G359" s="6" t="n">
        <v>16.83</v>
      </c>
      <c r="H359" s="6" t="n">
        <v>26</v>
      </c>
      <c r="I359" s="6" t="n">
        <v>201.96</v>
      </c>
      <c r="J359" s="6" t="n">
        <v>175.96</v>
      </c>
    </row>
    <row collapsed="false" customFormat="false" customHeight="false" hidden="false" ht="12.1" outlineLevel="0" r="360">
      <c r="A360" s="39" t="n">
        <v>46136</v>
      </c>
      <c r="B360" s="2" t="s">
        <v>803</v>
      </c>
      <c r="C360" s="2" t="s">
        <v>188</v>
      </c>
      <c r="D360" s="2" t="s">
        <v>189</v>
      </c>
      <c r="E360" s="6" t="n">
        <v>1000</v>
      </c>
      <c r="F360" s="7" t="n">
        <v>7</v>
      </c>
      <c r="G360" s="6" t="n">
        <v>11.26</v>
      </c>
      <c r="H360" s="6" t="n">
        <v>10</v>
      </c>
      <c r="I360" s="6" t="n">
        <v>78.82</v>
      </c>
      <c r="J360" s="6" t="n">
        <v>68.82</v>
      </c>
    </row>
    <row collapsed="false" customFormat="false" customHeight="false" hidden="false" ht="12.1" outlineLevel="0" r="361">
      <c r="A361" s="39" t="n">
        <v>46142</v>
      </c>
      <c r="B361" s="2" t="s">
        <v>803</v>
      </c>
      <c r="C361" s="2" t="s">
        <v>191</v>
      </c>
      <c r="D361" s="2" t="s">
        <v>192</v>
      </c>
      <c r="E361" s="6" t="n">
        <v>1000</v>
      </c>
      <c r="F361" s="7" t="n">
        <v>5</v>
      </c>
      <c r="G361" s="6" t="n">
        <v>64.82</v>
      </c>
      <c r="H361" s="6" t="n">
        <v>42</v>
      </c>
      <c r="I361" s="6" t="n">
        <v>324.1</v>
      </c>
      <c r="J361" s="6" t="n">
        <v>282.1</v>
      </c>
    </row>
    <row collapsed="false" customFormat="false" customHeight="false" hidden="false" ht="12.1" outlineLevel="0" r="362">
      <c r="A362" s="39" t="n">
        <v>46142</v>
      </c>
      <c r="B362" s="2" t="s">
        <v>803</v>
      </c>
      <c r="C362" s="2" t="s">
        <v>221</v>
      </c>
      <c r="D362" s="2" t="s">
        <v>222</v>
      </c>
      <c r="E362" s="6" t="n">
        <v>362.02000000000004</v>
      </c>
      <c r="F362" s="7" t="n">
        <v>7</v>
      </c>
      <c r="G362" s="6" t="n">
        <v>1.12</v>
      </c>
      <c r="H362" s="6" t="n">
        <v>1</v>
      </c>
      <c r="I362" s="6" t="n">
        <v>7.84</v>
      </c>
      <c r="J362" s="6" t="n">
        <v>6.84</v>
      </c>
    </row>
    <row collapsed="false" customFormat="false" customHeight="false" hidden="false" ht="12.1" outlineLevel="0" r="363">
      <c r="A363" s="39" t="n">
        <v>46143</v>
      </c>
      <c r="B363" s="2" t="s">
        <v>803</v>
      </c>
      <c r="C363" s="2" t="s">
        <v>233</v>
      </c>
      <c r="D363" s="2" t="s">
        <v>234</v>
      </c>
      <c r="E363" s="6" t="n">
        <v>183.41</v>
      </c>
      <c r="F363" s="7" t="n">
        <v>10</v>
      </c>
      <c r="G363" s="6" t="n">
        <v>2.7</v>
      </c>
      <c r="H363" s="6" t="n">
        <v>4</v>
      </c>
      <c r="I363" s="6" t="n">
        <v>27</v>
      </c>
      <c r="J363" s="6" t="n">
        <v>23</v>
      </c>
    </row>
    <row collapsed="false" customFormat="false" customHeight="false" hidden="false" ht="12.1" outlineLevel="0" r="364">
      <c r="A364" s="39" t="n">
        <v>46145</v>
      </c>
      <c r="B364" s="2" t="s">
        <v>803</v>
      </c>
      <c r="C364" s="2" t="s">
        <v>194</v>
      </c>
      <c r="D364" s="2" t="s">
        <v>195</v>
      </c>
      <c r="E364" s="6" t="n">
        <v>560</v>
      </c>
      <c r="F364" s="7" t="n">
        <v>10</v>
      </c>
      <c r="G364" s="6" t="n">
        <v>3.68</v>
      </c>
      <c r="H364" s="6" t="n">
        <v>5</v>
      </c>
      <c r="I364" s="6" t="n">
        <v>36.8</v>
      </c>
      <c r="J364" s="6" t="n">
        <v>31.8</v>
      </c>
    </row>
    <row collapsed="false" customFormat="false" customHeight="false" hidden="false" ht="12.1" outlineLevel="0" r="365">
      <c r="A365" s="39" t="n">
        <v>46155</v>
      </c>
      <c r="B365" s="2" t="s">
        <v>803</v>
      </c>
      <c r="C365" s="2" t="s">
        <v>215</v>
      </c>
      <c r="D365" s="2" t="s">
        <v>216</v>
      </c>
      <c r="E365" s="6" t="n">
        <v>800</v>
      </c>
      <c r="F365" s="7" t="n">
        <v>5</v>
      </c>
      <c r="G365" s="6" t="n">
        <v>23.93</v>
      </c>
      <c r="H365" s="6" t="n">
        <v>16</v>
      </c>
      <c r="I365" s="6" t="n">
        <v>119.65</v>
      </c>
      <c r="J365" s="6" t="n">
        <v>103.65</v>
      </c>
    </row>
    <row collapsed="false" customFormat="false" customHeight="false" hidden="false" ht="12.1" outlineLevel="0" r="366">
      <c r="A366" s="39" t="n">
        <v>46159</v>
      </c>
      <c r="B366" s="2" t="s">
        <v>803</v>
      </c>
      <c r="C366" s="2" t="s">
        <v>155</v>
      </c>
      <c r="D366" s="2" t="s">
        <v>156</v>
      </c>
      <c r="E366" s="6" t="n">
        <v>1000</v>
      </c>
      <c r="F366" s="7" t="n">
        <v>31</v>
      </c>
      <c r="G366" s="6" t="n">
        <v>11.18</v>
      </c>
      <c r="H366" s="6" t="n">
        <v>45</v>
      </c>
      <c r="I366" s="6" t="n">
        <v>346.58</v>
      </c>
      <c r="J366" s="6" t="n">
        <v>301.58</v>
      </c>
    </row>
    <row collapsed="false" customFormat="false" customHeight="false" hidden="false" ht="12.1" outlineLevel="0" r="367">
      <c r="A367" s="39" t="n">
        <v>46160</v>
      </c>
      <c r="B367" s="2" t="s">
        <v>803</v>
      </c>
      <c r="C367" s="2" t="s">
        <v>230</v>
      </c>
      <c r="D367" s="2" t="s">
        <v>231</v>
      </c>
      <c r="E367" s="6" t="n">
        <v>1000</v>
      </c>
      <c r="F367" s="7" t="n">
        <v>2</v>
      </c>
      <c r="G367" s="6" t="n">
        <v>83.47</v>
      </c>
      <c r="H367" s="6" t="n">
        <v>22</v>
      </c>
      <c r="I367" s="6" t="n">
        <v>166.94</v>
      </c>
      <c r="J367" s="6" t="n">
        <v>144.94</v>
      </c>
    </row>
    <row collapsed="false" customFormat="false" customHeight="false" hidden="false" ht="12.1" outlineLevel="0" r="368">
      <c r="A368" s="39" t="n">
        <v>46161</v>
      </c>
      <c r="B368" s="2" t="s">
        <v>803</v>
      </c>
      <c r="C368" s="2" t="s">
        <v>185</v>
      </c>
      <c r="D368" s="2" t="s">
        <v>186</v>
      </c>
      <c r="E368" s="6" t="n">
        <v>1000</v>
      </c>
      <c r="F368" s="7" t="n">
        <v>10</v>
      </c>
      <c r="G368" s="6" t="n">
        <v>28.42</v>
      </c>
      <c r="H368" s="6" t="n">
        <v>37</v>
      </c>
      <c r="I368" s="6" t="n">
        <v>284.2</v>
      </c>
      <c r="J368" s="6" t="n">
        <v>247.2</v>
      </c>
    </row>
    <row collapsed="false" customFormat="false" customHeight="false" hidden="false" ht="12.1" outlineLevel="0" r="369">
      <c r="A369" s="39" t="n">
        <v>46161</v>
      </c>
      <c r="B369" s="2" t="s">
        <v>803</v>
      </c>
      <c r="C369" s="2" t="s">
        <v>170</v>
      </c>
      <c r="D369" s="2" t="s">
        <v>171</v>
      </c>
      <c r="E369" s="6" t="n">
        <v>1000</v>
      </c>
      <c r="F369" s="7" t="n">
        <v>19</v>
      </c>
      <c r="G369" s="6" t="n">
        <v>32.16</v>
      </c>
      <c r="H369" s="6" t="n">
        <v>79</v>
      </c>
      <c r="I369" s="6" t="n">
        <v>611.04</v>
      </c>
      <c r="J369" s="6" t="n">
        <v>532.04</v>
      </c>
    </row>
    <row collapsed="false" customFormat="false" customHeight="false" hidden="false" ht="12.1" outlineLevel="0" r="370">
      <c r="A370" s="39" t="n">
        <v>46166</v>
      </c>
      <c r="B370" s="2" t="s">
        <v>803</v>
      </c>
      <c r="C370" s="2" t="s">
        <v>188</v>
      </c>
      <c r="D370" s="2" t="s">
        <v>189</v>
      </c>
      <c r="E370" s="6" t="n">
        <v>1000</v>
      </c>
      <c r="F370" s="7" t="n">
        <v>7</v>
      </c>
      <c r="G370" s="6" t="n">
        <v>11.26</v>
      </c>
      <c r="H370" s="6" t="n">
        <v>10</v>
      </c>
      <c r="I370" s="6" t="n">
        <v>78.82</v>
      </c>
      <c r="J370" s="6" t="n">
        <v>68.82</v>
      </c>
    </row>
    <row collapsed="false" customFormat="false" customHeight="false" hidden="false" ht="12.1" outlineLevel="0" r="371">
      <c r="A371" s="39" t="n">
        <v>46166</v>
      </c>
      <c r="B371" s="2" t="s">
        <v>803</v>
      </c>
      <c r="C371" s="2" t="s">
        <v>197</v>
      </c>
      <c r="D371" s="2" t="s">
        <v>198</v>
      </c>
      <c r="E371" s="6" t="n">
        <v>1000</v>
      </c>
      <c r="F371" s="7" t="n">
        <v>5</v>
      </c>
      <c r="G371" s="6" t="n">
        <v>59.84</v>
      </c>
      <c r="H371" s="6" t="n">
        <v>39</v>
      </c>
      <c r="I371" s="6" t="n">
        <v>299.2</v>
      </c>
      <c r="J371" s="6" t="n">
        <v>260.2</v>
      </c>
    </row>
    <row collapsed="false" customFormat="false" customHeight="false" hidden="false" ht="12.1" outlineLevel="0" r="372">
      <c r="A372" s="39" t="n">
        <v>46168</v>
      </c>
      <c r="B372" s="2" t="s">
        <v>803</v>
      </c>
      <c r="C372" s="2" t="s">
        <v>161</v>
      </c>
      <c r="D372" s="2" t="s">
        <v>162</v>
      </c>
      <c r="E372" s="6" t="n">
        <v>1000</v>
      </c>
      <c r="F372" s="7" t="n">
        <v>34</v>
      </c>
      <c r="G372" s="6" t="n">
        <v>47.37</v>
      </c>
      <c r="H372" s="6" t="n">
        <v>209</v>
      </c>
      <c r="I372" s="6" t="n">
        <v>1610.58</v>
      </c>
      <c r="J372" s="6" t="n">
        <v>1401.58</v>
      </c>
    </row>
    <row collapsed="false" customFormat="false" customHeight="false" hidden="false" ht="12.1" outlineLevel="0" r="373">
      <c r="A373" s="39" t="n">
        <v>46168</v>
      </c>
      <c r="B373" s="2" t="s">
        <v>803</v>
      </c>
      <c r="C373" s="2" t="s">
        <v>164</v>
      </c>
      <c r="D373" s="2" t="s">
        <v>165</v>
      </c>
      <c r="E373" s="6" t="n">
        <v>1000</v>
      </c>
      <c r="F373" s="7" t="n">
        <v>20</v>
      </c>
      <c r="G373" s="6" t="n">
        <v>61.08</v>
      </c>
      <c r="H373" s="6" t="n">
        <v>159</v>
      </c>
      <c r="I373" s="6" t="n">
        <v>1221.6</v>
      </c>
      <c r="J373" s="6" t="n">
        <v>1062.6</v>
      </c>
    </row>
    <row collapsed="false" customFormat="false" customHeight="false" hidden="false" ht="12.1" outlineLevel="0" r="374">
      <c r="A374" s="39" t="n">
        <v>46173</v>
      </c>
      <c r="B374" s="2" t="s">
        <v>803</v>
      </c>
      <c r="C374" s="2" t="s">
        <v>221</v>
      </c>
      <c r="D374" s="2" t="s">
        <v>222</v>
      </c>
      <c r="E374" s="6" t="n">
        <v>362.02000000000004</v>
      </c>
      <c r="F374" s="7" t="n">
        <v>7</v>
      </c>
      <c r="G374" s="6" t="n">
        <v>1</v>
      </c>
      <c r="H374" s="6" t="n">
        <v>1</v>
      </c>
      <c r="I374" s="6" t="n">
        <v>7</v>
      </c>
      <c r="J374" s="6" t="n">
        <v>6</v>
      </c>
    </row>
    <row collapsed="false" customFormat="false" customHeight="false" hidden="false" ht="12.1" outlineLevel="0" r="375">
      <c r="A375" s="39" t="n">
        <v>46174</v>
      </c>
      <c r="B375" s="2" t="s">
        <v>803</v>
      </c>
      <c r="C375" s="2" t="s">
        <v>233</v>
      </c>
      <c r="D375" s="2" t="s">
        <v>234</v>
      </c>
      <c r="E375" s="6" t="n">
        <v>183.41</v>
      </c>
      <c r="F375" s="7" t="n">
        <v>10</v>
      </c>
      <c r="G375" s="6" t="n">
        <v>0.76</v>
      </c>
      <c r="H375" s="6" t="n">
        <v>1</v>
      </c>
      <c r="I375" s="6" t="n">
        <v>7.6</v>
      </c>
      <c r="J375" s="6" t="n">
        <v>6.6</v>
      </c>
    </row>
    <row collapsed="false" customFormat="false" customHeight="false" hidden="false" ht="12.1" outlineLevel="0" r="376">
      <c r="A376" s="39" t="n">
        <v>46174</v>
      </c>
      <c r="B376" s="2" t="s">
        <v>803</v>
      </c>
      <c r="C376" s="2" t="s">
        <v>200</v>
      </c>
      <c r="D376" s="2" t="s">
        <v>201</v>
      </c>
      <c r="E376" s="6" t="n">
        <v>1000</v>
      </c>
      <c r="F376" s="7" t="n">
        <v>5</v>
      </c>
      <c r="G376" s="6" t="n">
        <v>56.1</v>
      </c>
      <c r="H376" s="6" t="n">
        <v>36</v>
      </c>
      <c r="I376" s="6" t="n">
        <v>280.5</v>
      </c>
      <c r="J376" s="6" t="n">
        <v>244.5</v>
      </c>
    </row>
    <row collapsed="false" customFormat="false" customHeight="false" hidden="false" ht="12.1" outlineLevel="0" r="377">
      <c r="A377" s="39" t="n">
        <v>46175</v>
      </c>
      <c r="B377" s="2" t="s">
        <v>803</v>
      </c>
      <c r="C377" s="2" t="s">
        <v>194</v>
      </c>
      <c r="D377" s="2" t="s">
        <v>195</v>
      </c>
      <c r="E377" s="6" t="n">
        <v>560</v>
      </c>
      <c r="F377" s="7" t="n">
        <v>10</v>
      </c>
      <c r="G377" s="6" t="n">
        <v>3.16</v>
      </c>
      <c r="H377" s="6" t="n">
        <v>4</v>
      </c>
      <c r="I377" s="6" t="n">
        <v>31.6</v>
      </c>
      <c r="J377" s="6" t="n">
        <v>27.6</v>
      </c>
    </row>
    <row collapsed="false" customFormat="false" customHeight="false" hidden="false" ht="12.1" outlineLevel="0" r="378">
      <c r="A378" s="39" t="n">
        <v>46175</v>
      </c>
      <c r="B378" s="2" t="s">
        <v>803</v>
      </c>
      <c r="C378" s="2" t="s">
        <v>136</v>
      </c>
      <c r="D378" s="2" t="s">
        <v>138</v>
      </c>
      <c r="E378" s="6" t="n">
        <v>1000</v>
      </c>
      <c r="F378" s="7" t="n">
        <v>88</v>
      </c>
      <c r="G378" s="6" t="n">
        <v>35.4</v>
      </c>
      <c r="H378" s="6" t="n">
        <v>405</v>
      </c>
      <c r="I378" s="6" t="n">
        <v>3115.2</v>
      </c>
      <c r="J378" s="6" t="n">
        <v>2710.2</v>
      </c>
    </row>
    <row collapsed="false" customFormat="false" customHeight="false" hidden="false" ht="12.1" outlineLevel="0" r="379">
      <c r="A379" s="39" t="n">
        <v>46175</v>
      </c>
      <c r="B379" s="2" t="s">
        <v>803</v>
      </c>
      <c r="C379" s="2" t="s">
        <v>167</v>
      </c>
      <c r="D379" s="2" t="s">
        <v>168</v>
      </c>
      <c r="E379" s="6" t="n">
        <v>1000</v>
      </c>
      <c r="F379" s="7" t="n">
        <v>20</v>
      </c>
      <c r="G379" s="6" t="n">
        <v>61.08</v>
      </c>
      <c r="H379" s="6" t="n">
        <v>159</v>
      </c>
      <c r="I379" s="6" t="n">
        <v>1221.6</v>
      </c>
      <c r="J379" s="6" t="n">
        <v>1062.6</v>
      </c>
    </row>
    <row collapsed="false" customFormat="false" customHeight="false" hidden="false" ht="12.1" outlineLevel="0" r="380">
      <c r="A380" s="39" t="n">
        <v>46175</v>
      </c>
      <c r="B380" s="2" t="s">
        <v>803</v>
      </c>
      <c r="C380" s="2" t="s">
        <v>143</v>
      </c>
      <c r="D380" s="2" t="s">
        <v>144</v>
      </c>
      <c r="E380" s="6" t="n">
        <v>1000</v>
      </c>
      <c r="F380" s="7" t="n">
        <v>53</v>
      </c>
      <c r="G380" s="6" t="n">
        <v>48.87</v>
      </c>
      <c r="H380" s="6" t="n">
        <v>337</v>
      </c>
      <c r="I380" s="6" t="n">
        <v>2590.11</v>
      </c>
      <c r="J380" s="6" t="n">
        <v>2253.11</v>
      </c>
    </row>
    <row collapsed="false" customFormat="false" customHeight="false" hidden="false" ht="12.1" outlineLevel="0" r="381">
      <c r="A381" s="39" t="n">
        <v>46180</v>
      </c>
      <c r="B381" s="2" t="s">
        <v>803</v>
      </c>
      <c r="C381" s="2" t="s">
        <v>236</v>
      </c>
      <c r="D381" s="2" t="s">
        <v>237</v>
      </c>
      <c r="E381" s="6" t="n">
        <v>1000</v>
      </c>
      <c r="F381" s="7" t="n">
        <v>1</v>
      </c>
      <c r="G381" s="6" t="n">
        <v>81.78</v>
      </c>
      <c r="H381" s="6" t="n">
        <v>11</v>
      </c>
      <c r="I381" s="6" t="n">
        <v>81.78</v>
      </c>
      <c r="J381" s="6" t="n">
        <v>70.78</v>
      </c>
    </row>
    <row collapsed="false" customFormat="false" customHeight="false" hidden="false" ht="12.1" outlineLevel="0" r="382">
      <c r="A382" s="39" t="n">
        <v>46182</v>
      </c>
      <c r="B382" s="2" t="s">
        <v>803</v>
      </c>
      <c r="C382" s="2" t="s">
        <v>242</v>
      </c>
      <c r="D382" s="2" t="s">
        <v>243</v>
      </c>
      <c r="E382" s="6" t="n">
        <v>553.32</v>
      </c>
      <c r="F382" s="7" t="n">
        <v>1</v>
      </c>
      <c r="G382" s="6" t="n">
        <v>29.91</v>
      </c>
      <c r="H382" s="6" t="n">
        <v>4</v>
      </c>
      <c r="I382" s="6" t="n">
        <v>29.91</v>
      </c>
      <c r="J382" s="6" t="n">
        <v>25.91</v>
      </c>
    </row>
    <row collapsed="false" customFormat="false" customHeight="false" hidden="false" ht="12.1" outlineLevel="0" r="383">
      <c r="A383" s="39" t="n">
        <v>46184</v>
      </c>
      <c r="B383" s="2" t="s">
        <v>803</v>
      </c>
      <c r="C383" s="2" t="s">
        <v>173</v>
      </c>
      <c r="D383" s="2" t="s">
        <v>174</v>
      </c>
      <c r="E383" s="6" t="n">
        <v>1000</v>
      </c>
      <c r="F383" s="7" t="n">
        <v>20</v>
      </c>
      <c r="G383" s="6" t="n">
        <v>17.83</v>
      </c>
      <c r="H383" s="6" t="n">
        <v>46</v>
      </c>
      <c r="I383" s="6" t="n">
        <v>356.6</v>
      </c>
      <c r="J383" s="6" t="n">
        <v>310.6</v>
      </c>
    </row>
    <row collapsed="false" customFormat="false" customHeight="false" hidden="false" ht="12.1" outlineLevel="0" r="384">
      <c r="A384" s="39" t="n">
        <v>46189</v>
      </c>
      <c r="B384" s="2" t="s">
        <v>803</v>
      </c>
      <c r="C384" s="2" t="s">
        <v>155</v>
      </c>
      <c r="D384" s="2" t="s">
        <v>156</v>
      </c>
      <c r="E384" s="6" t="n">
        <v>1000</v>
      </c>
      <c r="F384" s="7" t="n">
        <v>31</v>
      </c>
      <c r="G384" s="6" t="n">
        <v>11.18</v>
      </c>
      <c r="H384" s="6" t="n">
        <v>45</v>
      </c>
      <c r="I384" s="6" t="n">
        <v>346.58</v>
      </c>
      <c r="J384" s="6" t="n">
        <v>301.58</v>
      </c>
    </row>
    <row collapsed="false" customFormat="false" customHeight="false" hidden="false" ht="12.1" outlineLevel="0" r="385">
      <c r="A385" s="39" t="n">
        <v>46196</v>
      </c>
      <c r="B385" s="2" t="s">
        <v>803</v>
      </c>
      <c r="C385" s="2" t="s">
        <v>188</v>
      </c>
      <c r="D385" s="2" t="s">
        <v>189</v>
      </c>
      <c r="E385" s="6" t="n">
        <v>1000</v>
      </c>
      <c r="F385" s="7" t="n">
        <v>7</v>
      </c>
      <c r="G385" s="6" t="n">
        <v>11.26</v>
      </c>
      <c r="H385" s="6" t="n">
        <v>10</v>
      </c>
      <c r="I385" s="6" t="n">
        <v>78.82</v>
      </c>
      <c r="J385" s="6" t="n">
        <v>68.82</v>
      </c>
    </row>
    <row collapsed="false" customFormat="false" customHeight="false" hidden="false" ht="12.1" outlineLevel="0" r="386">
      <c r="A386" s="39" t="n">
        <v>46203</v>
      </c>
      <c r="B386" s="2" t="s">
        <v>803</v>
      </c>
      <c r="C386" s="2" t="s">
        <v>221</v>
      </c>
      <c r="D386" s="2" t="s">
        <v>222</v>
      </c>
      <c r="E386" s="6" t="n">
        <v>362.02000000000004</v>
      </c>
      <c r="F386" s="7" t="n">
        <v>7</v>
      </c>
      <c r="G386" s="6" t="n">
        <v>0.83</v>
      </c>
      <c r="H386" s="6" t="n">
        <v>1</v>
      </c>
      <c r="I386" s="6" t="n">
        <v>5.81</v>
      </c>
      <c r="J386" s="6" t="n">
        <v>4.81</v>
      </c>
    </row>
    <row collapsed="false" customFormat="false" customHeight="false" hidden="false" ht="12.1" outlineLevel="0" r="387">
      <c r="A387" s="39" t="n">
        <v>46204</v>
      </c>
      <c r="B387" s="2" t="s">
        <v>803</v>
      </c>
      <c r="C387" s="2" t="s">
        <v>212</v>
      </c>
      <c r="D387" s="2" t="s">
        <v>213</v>
      </c>
      <c r="E387" s="6" t="n">
        <v>1000</v>
      </c>
      <c r="F387" s="7" t="n">
        <v>4</v>
      </c>
      <c r="G387" s="6" t="n">
        <v>29.42</v>
      </c>
      <c r="H387" s="6" t="n">
        <v>15</v>
      </c>
      <c r="I387" s="6" t="n">
        <v>117.68</v>
      </c>
      <c r="J387" s="6" t="n">
        <v>102.68</v>
      </c>
    </row>
    <row collapsed="false" customFormat="false" customHeight="false" hidden="false" ht="12.1" outlineLevel="0" r="388">
      <c r="A388" s="39" t="n">
        <v>46204</v>
      </c>
      <c r="B388" s="2" t="s">
        <v>803</v>
      </c>
      <c r="C388" s="2" t="s">
        <v>233</v>
      </c>
      <c r="D388" s="2" t="s">
        <v>234</v>
      </c>
      <c r="E388" s="6" t="n">
        <v>183.41</v>
      </c>
      <c r="F388" s="7" t="n">
        <v>10</v>
      </c>
      <c r="G388" s="6" t="n">
        <v>0.61</v>
      </c>
      <c r="H388" s="6" t="n">
        <v>1</v>
      </c>
      <c r="I388" s="6" t="n">
        <v>6.1</v>
      </c>
      <c r="J388" s="6" t="n">
        <v>5.1</v>
      </c>
    </row>
    <row collapsed="false" customFormat="false" customHeight="false" hidden="false" ht="12.1" outlineLevel="0" r="389">
      <c r="A389" s="39" t="n">
        <v>46205</v>
      </c>
      <c r="B389" s="2" t="s">
        <v>803</v>
      </c>
      <c r="C389" s="2" t="s">
        <v>194</v>
      </c>
      <c r="D389" s="2" t="s">
        <v>195</v>
      </c>
      <c r="E389" s="6" t="n">
        <v>560</v>
      </c>
      <c r="F389" s="7" t="n">
        <v>10</v>
      </c>
      <c r="G389" s="6" t="n">
        <v>2.63</v>
      </c>
      <c r="H389" s="6" t="n">
        <v>3</v>
      </c>
      <c r="I389" s="6" t="n">
        <v>26.3</v>
      </c>
      <c r="J389" s="6" t="n">
        <v>23.3</v>
      </c>
    </row>
    <row collapsed="false" customFormat="false" customHeight="false" hidden="false" ht="12.1" outlineLevel="0" r="390">
      <c r="A390" s="39" t="n">
        <v>46219</v>
      </c>
      <c r="B390" s="2" t="s">
        <v>803</v>
      </c>
      <c r="C390" s="2" t="s">
        <v>155</v>
      </c>
      <c r="D390" s="2" t="s">
        <v>156</v>
      </c>
      <c r="E390" s="6" t="n">
        <v>1000</v>
      </c>
      <c r="F390" s="7" t="n">
        <v>31</v>
      </c>
      <c r="G390" s="6" t="n">
        <v>8.38</v>
      </c>
      <c r="H390" s="6" t="n">
        <v>34</v>
      </c>
      <c r="I390" s="6" t="n">
        <v>259.78</v>
      </c>
      <c r="J390" s="6" t="n">
        <v>225.78</v>
      </c>
    </row>
    <row collapsed="false" customFormat="false" customHeight="false" hidden="false" ht="12.1" outlineLevel="0" r="391">
      <c r="A391" s="39" t="n">
        <v>46225</v>
      </c>
      <c r="B391" s="2" t="s">
        <v>803</v>
      </c>
      <c r="C391" s="2" t="s">
        <v>182</v>
      </c>
      <c r="D391" s="2" t="s">
        <v>183</v>
      </c>
      <c r="E391" s="6" t="n">
        <v>1000</v>
      </c>
      <c r="F391" s="7" t="n">
        <v>12</v>
      </c>
      <c r="G391" s="6" t="n">
        <v>16.83</v>
      </c>
      <c r="H391" s="6" t="n">
        <v>26</v>
      </c>
      <c r="I391" s="6" t="n">
        <v>201.96</v>
      </c>
      <c r="J391" s="6" t="n">
        <v>175.96</v>
      </c>
    </row>
    <row collapsed="false" customFormat="false" customHeight="false" hidden="false" ht="12.1" outlineLevel="0" r="392">
      <c r="A392" s="39" t="n">
        <v>46226</v>
      </c>
      <c r="B392" s="2" t="s">
        <v>803</v>
      </c>
      <c r="C392" s="2" t="s">
        <v>188</v>
      </c>
      <c r="D392" s="2" t="s">
        <v>189</v>
      </c>
      <c r="E392" s="6" t="n">
        <v>1000</v>
      </c>
      <c r="F392" s="7" t="n">
        <v>7</v>
      </c>
      <c r="G392" s="6" t="n">
        <v>11.26</v>
      </c>
      <c r="H392" s="6" t="n">
        <v>10</v>
      </c>
      <c r="I392" s="6" t="n">
        <v>78.82</v>
      </c>
      <c r="J392" s="6" t="n">
        <v>68.82</v>
      </c>
    </row>
    <row collapsed="false" customFormat="false" customHeight="false" hidden="false" ht="12.1" outlineLevel="0" r="393">
      <c r="A393" s="39" t="n">
        <v>46233</v>
      </c>
      <c r="B393" s="2" t="s">
        <v>803</v>
      </c>
      <c r="C393" s="2" t="s">
        <v>191</v>
      </c>
      <c r="D393" s="2" t="s">
        <v>192</v>
      </c>
      <c r="E393" s="6" t="n">
        <v>1000</v>
      </c>
      <c r="F393" s="7" t="n">
        <v>5</v>
      </c>
      <c r="G393" s="6" t="n">
        <v>64.82</v>
      </c>
      <c r="H393" s="6" t="n">
        <v>42</v>
      </c>
      <c r="I393" s="6" t="n">
        <v>324.1</v>
      </c>
      <c r="J393" s="6" t="n">
        <v>282.1</v>
      </c>
    </row>
    <row collapsed="false" customFormat="false" customHeight="false" hidden="false" ht="12.1" outlineLevel="0" r="394">
      <c r="A394" s="39" t="n">
        <v>46234</v>
      </c>
      <c r="B394" s="2" t="s">
        <v>803</v>
      </c>
      <c r="C394" s="2" t="s">
        <v>221</v>
      </c>
      <c r="D394" s="2" t="s">
        <v>222</v>
      </c>
      <c r="E394" s="6" t="n">
        <v>362.02000000000004</v>
      </c>
      <c r="F394" s="7" t="n">
        <v>7</v>
      </c>
      <c r="G394" s="6" t="n">
        <v>0.72</v>
      </c>
      <c r="H394" s="6" t="n">
        <v>1</v>
      </c>
      <c r="I394" s="6" t="n">
        <v>5.04</v>
      </c>
      <c r="J394" s="6" t="n">
        <v>4.04</v>
      </c>
    </row>
    <row collapsed="false" customFormat="false" customHeight="false" hidden="false" ht="12.1" outlineLevel="0" r="395">
      <c r="A395" s="39" t="n">
        <v>46235</v>
      </c>
      <c r="B395" s="2" t="s">
        <v>803</v>
      </c>
      <c r="C395" s="2" t="s">
        <v>194</v>
      </c>
      <c r="D395" s="2" t="s">
        <v>195</v>
      </c>
      <c r="E395" s="6" t="n">
        <v>560</v>
      </c>
      <c r="F395" s="7" t="n">
        <v>10</v>
      </c>
      <c r="G395" s="6" t="n">
        <v>2.1</v>
      </c>
      <c r="H395" s="6" t="n">
        <v>3</v>
      </c>
      <c r="I395" s="6" t="n">
        <v>21</v>
      </c>
      <c r="J395" s="6" t="n">
        <v>18</v>
      </c>
    </row>
    <row collapsed="false" customFormat="false" customHeight="false" hidden="false" ht="12.1" outlineLevel="0" r="396">
      <c r="A396" s="39" t="n">
        <v>46235</v>
      </c>
      <c r="B396" s="2" t="s">
        <v>803</v>
      </c>
      <c r="C396" s="2" t="s">
        <v>233</v>
      </c>
      <c r="D396" s="2" t="s">
        <v>234</v>
      </c>
      <c r="E396" s="6" t="n">
        <v>183.41</v>
      </c>
      <c r="F396" s="7" t="n">
        <v>10</v>
      </c>
      <c r="G396" s="6" t="n">
        <v>0.59</v>
      </c>
      <c r="H396" s="6" t="n">
        <v>1</v>
      </c>
      <c r="I396" s="6" t="n">
        <v>5.9</v>
      </c>
      <c r="J396" s="6" t="n">
        <v>4.9</v>
      </c>
    </row>
    <row collapsed="false" customFormat="false" customHeight="false" hidden="false" ht="12.1" outlineLevel="0" r="397">
      <c r="A397" s="39" t="n">
        <v>46245</v>
      </c>
      <c r="B397" s="2" t="s">
        <v>803</v>
      </c>
      <c r="C397" s="2" t="s">
        <v>140</v>
      </c>
      <c r="D397" s="2" t="s">
        <v>141</v>
      </c>
      <c r="E397" s="6" t="n">
        <v>1000</v>
      </c>
      <c r="F397" s="7" t="n">
        <v>80</v>
      </c>
      <c r="G397" s="6" t="n">
        <v>34.9</v>
      </c>
      <c r="H397" s="6" t="n">
        <v>363</v>
      </c>
      <c r="I397" s="6" t="n">
        <v>2792</v>
      </c>
      <c r="J397" s="6" t="n">
        <v>2429</v>
      </c>
    </row>
    <row collapsed="false" customFormat="false" customHeight="false" hidden="false" ht="12.1" outlineLevel="0" r="398">
      <c r="A398" s="39" t="n">
        <v>46246</v>
      </c>
      <c r="B398" s="2" t="s">
        <v>803</v>
      </c>
      <c r="C398" s="2" t="s">
        <v>215</v>
      </c>
      <c r="D398" s="2" t="s">
        <v>216</v>
      </c>
      <c r="E398" s="6" t="n">
        <v>800</v>
      </c>
      <c r="F398" s="7" t="n">
        <v>5</v>
      </c>
      <c r="G398" s="6" t="n">
        <v>23.93</v>
      </c>
      <c r="H398" s="6" t="n">
        <v>16</v>
      </c>
      <c r="I398" s="6" t="n">
        <v>119.65</v>
      </c>
      <c r="J398" s="6" t="n">
        <v>103.65</v>
      </c>
    </row>
    <row collapsed="false" customFormat="false" customHeight="false" hidden="false" ht="12.1" outlineLevel="0" r="399">
      <c r="A399" s="39" t="n">
        <v>46247</v>
      </c>
      <c r="B399" s="2" t="s">
        <v>803</v>
      </c>
      <c r="C399" s="2" t="s">
        <v>227</v>
      </c>
      <c r="D399" s="2" t="s">
        <v>228</v>
      </c>
      <c r="E399" s="6" t="n">
        <v>1000</v>
      </c>
      <c r="F399" s="7" t="n">
        <v>2</v>
      </c>
      <c r="G399" s="6" t="n">
        <v>66.32</v>
      </c>
      <c r="H399" s="6" t="n">
        <v>17</v>
      </c>
      <c r="I399" s="6" t="n">
        <v>132.64</v>
      </c>
      <c r="J399" s="6" t="n">
        <v>115.64</v>
      </c>
    </row>
    <row collapsed="false" customFormat="false" customHeight="false" hidden="false" ht="12.1" outlineLevel="0" r="400">
      <c r="A400" s="39" t="n">
        <v>46249</v>
      </c>
      <c r="B400" s="2" t="s">
        <v>803</v>
      </c>
      <c r="C400" s="2" t="s">
        <v>155</v>
      </c>
      <c r="D400" s="2" t="s">
        <v>156</v>
      </c>
      <c r="E400" s="6" t="n">
        <v>1000</v>
      </c>
      <c r="F400" s="7" t="n">
        <v>31</v>
      </c>
      <c r="G400" s="6" t="n">
        <v>8.38</v>
      </c>
      <c r="H400" s="6" t="n">
        <v>34</v>
      </c>
      <c r="I400" s="6" t="n">
        <v>259.78</v>
      </c>
      <c r="J400" s="6" t="n">
        <v>225.78</v>
      </c>
    </row>
    <row collapsed="false" customFormat="false" customHeight="false" hidden="false" ht="12.1" outlineLevel="0" r="401">
      <c r="A401" s="39" t="n">
        <v>46256</v>
      </c>
      <c r="B401" s="2" t="s">
        <v>803</v>
      </c>
      <c r="C401" s="2" t="s">
        <v>188</v>
      </c>
      <c r="D401" s="2" t="s">
        <v>189</v>
      </c>
      <c r="E401" s="6" t="n">
        <v>1000</v>
      </c>
      <c r="F401" s="7" t="n">
        <v>7</v>
      </c>
      <c r="G401" s="6" t="n">
        <v>11.26</v>
      </c>
      <c r="H401" s="6" t="n">
        <v>10</v>
      </c>
      <c r="I401" s="6" t="n">
        <v>78.82</v>
      </c>
      <c r="J401" s="6" t="n">
        <v>68.82</v>
      </c>
    </row>
    <row collapsed="false" customFormat="false" customHeight="false" hidden="false" ht="12.1" outlineLevel="0" r="402">
      <c r="A402" s="39" t="n">
        <v>46258</v>
      </c>
      <c r="B402" s="2" t="s">
        <v>803</v>
      </c>
      <c r="C402" s="2" t="s">
        <v>170</v>
      </c>
      <c r="D402" s="2" t="s">
        <v>171</v>
      </c>
      <c r="E402" s="6" t="n">
        <v>1000</v>
      </c>
      <c r="F402" s="7" t="n">
        <v>19</v>
      </c>
      <c r="G402" s="6" t="n">
        <v>34.28</v>
      </c>
      <c r="H402" s="6" t="n">
        <v>85</v>
      </c>
      <c r="I402" s="6" t="n">
        <v>651.32</v>
      </c>
      <c r="J402" s="6" t="n">
        <v>566.32</v>
      </c>
    </row>
    <row collapsed="false" customFormat="false" customHeight="false" hidden="false" ht="12.1" outlineLevel="0" r="403">
      <c r="A403" s="39" t="n">
        <v>46265</v>
      </c>
      <c r="B403" s="2" t="s">
        <v>803</v>
      </c>
      <c r="C403" s="2" t="s">
        <v>221</v>
      </c>
      <c r="D403" s="2" t="s">
        <v>222</v>
      </c>
      <c r="E403" s="6" t="n">
        <v>362.02000000000004</v>
      </c>
      <c r="F403" s="7" t="n">
        <v>7</v>
      </c>
      <c r="G403" s="6" t="n">
        <v>0.58</v>
      </c>
      <c r="H403" s="6" t="n">
        <v>1</v>
      </c>
      <c r="I403" s="6" t="n">
        <v>4.06</v>
      </c>
      <c r="J403" s="6" t="n">
        <v>3.06</v>
      </c>
    </row>
    <row collapsed="false" customFormat="false" customHeight="false" hidden="false" ht="12.1" outlineLevel="0" r="404">
      <c r="A404" s="39" t="n">
        <v>46265</v>
      </c>
      <c r="B404" s="2" t="s">
        <v>803</v>
      </c>
      <c r="C404" s="2" t="s">
        <v>194</v>
      </c>
      <c r="D404" s="2" t="s">
        <v>195</v>
      </c>
      <c r="E404" s="6" t="n">
        <v>560</v>
      </c>
      <c r="F404" s="7" t="n">
        <v>10</v>
      </c>
      <c r="G404" s="6" t="n">
        <v>1.58</v>
      </c>
      <c r="H404" s="6" t="n">
        <v>2</v>
      </c>
      <c r="I404" s="6" t="n">
        <v>15.8</v>
      </c>
      <c r="J404" s="6" t="n">
        <v>13.8</v>
      </c>
    </row>
    <row collapsed="false" customFormat="false" customHeight="false" hidden="false" ht="12.1" outlineLevel="0" r="405">
      <c r="A405" s="39" t="n">
        <v>46266</v>
      </c>
      <c r="B405" s="2" t="s">
        <v>803</v>
      </c>
      <c r="C405" s="2" t="s">
        <v>206</v>
      </c>
      <c r="D405" s="2" t="s">
        <v>207</v>
      </c>
      <c r="E405" s="6" t="n">
        <v>1000</v>
      </c>
      <c r="F405" s="7" t="n">
        <v>5</v>
      </c>
      <c r="G405" s="6" t="n">
        <v>46.12</v>
      </c>
      <c r="H405" s="6" t="n">
        <v>30</v>
      </c>
      <c r="I405" s="6" t="n">
        <v>230.6</v>
      </c>
      <c r="J405" s="6" t="n">
        <v>200.6</v>
      </c>
    </row>
    <row collapsed="false" customFormat="false" customHeight="false" hidden="false" ht="12.1" outlineLevel="0" r="406">
      <c r="A406" s="39" t="n">
        <v>46266</v>
      </c>
      <c r="B406" s="2" t="s">
        <v>803</v>
      </c>
      <c r="C406" s="2" t="s">
        <v>233</v>
      </c>
      <c r="D406" s="2" t="s">
        <v>234</v>
      </c>
      <c r="E406" s="6" t="n">
        <v>183.41</v>
      </c>
      <c r="F406" s="7" t="n">
        <v>10</v>
      </c>
      <c r="G406" s="6" t="n">
        <v>0.59</v>
      </c>
      <c r="H406" s="6" t="n">
        <v>1</v>
      </c>
      <c r="I406" s="6" t="n">
        <v>5.9</v>
      </c>
      <c r="J406" s="6" t="n">
        <v>4.9</v>
      </c>
    </row>
    <row collapsed="false" customFormat="false" customHeight="false" hidden="false" ht="12.1" outlineLevel="0" r="407">
      <c r="A407" s="39" t="n">
        <v>46273</v>
      </c>
      <c r="B407" s="2" t="s">
        <v>803</v>
      </c>
      <c r="C407" s="2" t="s">
        <v>242</v>
      </c>
      <c r="D407" s="2" t="s">
        <v>243</v>
      </c>
      <c r="E407" s="6" t="n">
        <v>553.32</v>
      </c>
      <c r="F407" s="7" t="n">
        <v>1</v>
      </c>
      <c r="G407" s="6" t="n">
        <v>28.81</v>
      </c>
      <c r="H407" s="6" t="n">
        <v>4</v>
      </c>
      <c r="I407" s="6" t="n">
        <v>28.81</v>
      </c>
      <c r="J407" s="6" t="n">
        <v>24.81</v>
      </c>
    </row>
    <row collapsed="false" customFormat="false" customHeight="false" hidden="false" ht="12.1" outlineLevel="0" r="408">
      <c r="A408" s="39" t="n">
        <v>46275</v>
      </c>
      <c r="B408" s="2" t="s">
        <v>803</v>
      </c>
      <c r="C408" s="2" t="s">
        <v>173</v>
      </c>
      <c r="D408" s="2" t="s">
        <v>174</v>
      </c>
      <c r="E408" s="6" t="n">
        <v>1000</v>
      </c>
      <c r="F408" s="7" t="n">
        <v>20</v>
      </c>
      <c r="G408" s="6" t="n">
        <v>17.83</v>
      </c>
      <c r="H408" s="6" t="n">
        <v>46</v>
      </c>
      <c r="I408" s="6" t="n">
        <v>356.6</v>
      </c>
      <c r="J408" s="6" t="n">
        <v>310.6</v>
      </c>
    </row>
    <row collapsed="false" customFormat="false" customHeight="false" hidden="false" ht="12.1" outlineLevel="0" r="409">
      <c r="A409" s="39" t="n">
        <v>46279</v>
      </c>
      <c r="B409" s="2" t="s">
        <v>803</v>
      </c>
      <c r="C409" s="2" t="s">
        <v>155</v>
      </c>
      <c r="D409" s="2" t="s">
        <v>156</v>
      </c>
      <c r="E409" s="6" t="n">
        <v>1000</v>
      </c>
      <c r="F409" s="7" t="n">
        <v>31</v>
      </c>
      <c r="G409" s="6" t="n">
        <v>8.38</v>
      </c>
      <c r="H409" s="6" t="n">
        <v>34</v>
      </c>
      <c r="I409" s="6" t="n">
        <v>259.78</v>
      </c>
      <c r="J409" s="6" t="n">
        <v>225.78</v>
      </c>
    </row>
    <row collapsed="false" customFormat="false" customHeight="false" hidden="false" ht="12.1" outlineLevel="0" r="410">
      <c r="A410" s="39" t="n">
        <v>46280</v>
      </c>
      <c r="B410" s="2" t="s">
        <v>803</v>
      </c>
      <c r="C410" s="2" t="s">
        <v>158</v>
      </c>
      <c r="D410" s="2" t="s">
        <v>159</v>
      </c>
      <c r="E410" s="6" t="n">
        <v>1000</v>
      </c>
      <c r="F410" s="7" t="n">
        <v>34</v>
      </c>
      <c r="G410" s="6" t="n">
        <v>33.41</v>
      </c>
      <c r="H410" s="6" t="n">
        <v>148</v>
      </c>
      <c r="I410" s="6" t="n">
        <v>1135.94</v>
      </c>
      <c r="J410" s="6" t="n">
        <v>987.94</v>
      </c>
    </row>
    <row collapsed="false" customFormat="false" customHeight="false" hidden="false" ht="12.1" outlineLevel="0" r="411">
      <c r="A411" s="39" t="n">
        <v>46280</v>
      </c>
      <c r="B411" s="2" t="s">
        <v>803</v>
      </c>
      <c r="C411" s="2" t="s">
        <v>176</v>
      </c>
      <c r="D411" s="2" t="s">
        <v>177</v>
      </c>
      <c r="E411" s="6" t="n">
        <v>1000</v>
      </c>
      <c r="F411" s="7" t="n">
        <v>15</v>
      </c>
      <c r="G411" s="6" t="n">
        <v>38.64</v>
      </c>
      <c r="H411" s="6" t="n">
        <v>75</v>
      </c>
      <c r="I411" s="6" t="n">
        <v>579.6</v>
      </c>
      <c r="J411" s="6" t="n">
        <v>504.6</v>
      </c>
    </row>
    <row collapsed="false" customFormat="false" customHeight="false" hidden="false" ht="12.1" outlineLevel="0" r="412">
      <c r="A412" s="39" t="n">
        <v>46286</v>
      </c>
      <c r="B412" s="2" t="s">
        <v>803</v>
      </c>
      <c r="C412" s="2" t="s">
        <v>188</v>
      </c>
      <c r="D412" s="2" t="s">
        <v>189</v>
      </c>
      <c r="E412" s="6" t="n">
        <v>1000</v>
      </c>
      <c r="F412" s="7" t="n">
        <v>7</v>
      </c>
      <c r="G412" s="6" t="n">
        <v>11.26</v>
      </c>
      <c r="H412" s="6" t="n">
        <v>10</v>
      </c>
      <c r="I412" s="6" t="n">
        <v>78.82</v>
      </c>
      <c r="J412" s="6" t="n">
        <v>68.82</v>
      </c>
    </row>
    <row collapsed="false" customFormat="false" customHeight="false" hidden="false" ht="12.1" outlineLevel="0" r="413">
      <c r="A413" s="39" t="n">
        <v>46287</v>
      </c>
      <c r="B413" s="2" t="s">
        <v>803</v>
      </c>
      <c r="C413" s="2" t="s">
        <v>152</v>
      </c>
      <c r="D413" s="2" t="s">
        <v>153</v>
      </c>
      <c r="E413" s="6" t="n">
        <v>1000</v>
      </c>
      <c r="F413" s="7" t="n">
        <v>34</v>
      </c>
      <c r="G413" s="6" t="n">
        <v>59.84</v>
      </c>
      <c r="H413" s="6" t="n">
        <v>264</v>
      </c>
      <c r="I413" s="6" t="n">
        <v>2034.56</v>
      </c>
      <c r="J413" s="6" t="n">
        <v>1770.56</v>
      </c>
    </row>
    <row collapsed="false" customFormat="false" customHeight="false" hidden="false" ht="12.1" outlineLevel="0" r="414">
      <c r="A414" s="39" t="n">
        <v>46287</v>
      </c>
      <c r="B414" s="2" t="s">
        <v>803</v>
      </c>
      <c r="C414" s="2" t="s">
        <v>146</v>
      </c>
      <c r="D414" s="2" t="s">
        <v>147</v>
      </c>
      <c r="E414" s="6" t="n">
        <v>1000</v>
      </c>
      <c r="F414" s="7" t="n">
        <v>40</v>
      </c>
      <c r="G414" s="6" t="n">
        <v>56.1</v>
      </c>
      <c r="H414" s="6" t="n">
        <v>292</v>
      </c>
      <c r="I414" s="6" t="n">
        <v>2244</v>
      </c>
      <c r="J414" s="6" t="n">
        <v>1952</v>
      </c>
    </row>
    <row collapsed="false" customFormat="false" customHeight="false" hidden="false" ht="12.1" outlineLevel="0" r="415">
      <c r="A415" s="39" t="n">
        <v>46294</v>
      </c>
      <c r="B415" s="2" t="s">
        <v>803</v>
      </c>
      <c r="C415" s="2" t="s">
        <v>149</v>
      </c>
      <c r="D415" s="2" t="s">
        <v>150</v>
      </c>
      <c r="E415" s="6" t="n">
        <v>1000</v>
      </c>
      <c r="F415" s="7" t="n">
        <v>45</v>
      </c>
      <c r="G415" s="6" t="n">
        <v>38.39</v>
      </c>
      <c r="H415" s="6" t="n">
        <v>225</v>
      </c>
      <c r="I415" s="6" t="n">
        <v>1727.55</v>
      </c>
      <c r="J415" s="6" t="n">
        <v>1502.55</v>
      </c>
    </row>
    <row collapsed="false" customFormat="false" customHeight="false" hidden="false" ht="12.1" outlineLevel="0" r="416">
      <c r="A416" s="39" t="n">
        <v>46295</v>
      </c>
      <c r="B416" s="2" t="s">
        <v>803</v>
      </c>
      <c r="C416" s="2" t="s">
        <v>221</v>
      </c>
      <c r="D416" s="2" t="s">
        <v>222</v>
      </c>
      <c r="E416" s="6" t="n">
        <v>362.02000000000004</v>
      </c>
      <c r="F416" s="7" t="n">
        <v>7</v>
      </c>
      <c r="G416" s="6" t="n">
        <v>0.44</v>
      </c>
      <c r="H416" s="6" t="n">
        <v>0</v>
      </c>
      <c r="I416" s="6" t="n">
        <v>3.08</v>
      </c>
      <c r="J416" s="6" t="n">
        <v>3.08</v>
      </c>
    </row>
    <row collapsed="false" customFormat="false" customHeight="false" hidden="false" ht="12.1" outlineLevel="0" r="417">
      <c r="A417" s="39" t="n">
        <v>46295</v>
      </c>
      <c r="B417" s="2" t="s">
        <v>803</v>
      </c>
      <c r="C417" s="2" t="s">
        <v>194</v>
      </c>
      <c r="D417" s="2" t="s">
        <v>195</v>
      </c>
      <c r="E417" s="6" t="n">
        <v>560</v>
      </c>
      <c r="F417" s="7" t="n">
        <v>10</v>
      </c>
      <c r="G417" s="6" t="n">
        <v>1.05</v>
      </c>
      <c r="H417" s="6" t="n">
        <v>1</v>
      </c>
      <c r="I417" s="6" t="n">
        <v>10.5</v>
      </c>
      <c r="J417" s="6" t="n">
        <v>9.5</v>
      </c>
    </row>
    <row collapsed="false" customFormat="false" customHeight="false" hidden="false" ht="12.1" outlineLevel="0" r="418">
      <c r="A418" s="39" t="n">
        <v>46309</v>
      </c>
      <c r="B418" s="2" t="s">
        <v>803</v>
      </c>
      <c r="C418" s="2" t="s">
        <v>155</v>
      </c>
      <c r="D418" s="2" t="s">
        <v>156</v>
      </c>
      <c r="E418" s="6" t="n">
        <v>1000</v>
      </c>
      <c r="F418" s="7" t="n">
        <v>31</v>
      </c>
      <c r="G418" s="6" t="n">
        <v>5.59</v>
      </c>
      <c r="H418" s="6" t="n">
        <v>23</v>
      </c>
      <c r="I418" s="6" t="n">
        <v>173.29</v>
      </c>
      <c r="J418" s="6" t="n">
        <v>150.29</v>
      </c>
    </row>
    <row collapsed="false" customFormat="false" customHeight="false" hidden="false" ht="12.1" outlineLevel="0" r="419">
      <c r="A419" s="39" t="n">
        <v>46316</v>
      </c>
      <c r="B419" s="2" t="s">
        <v>803</v>
      </c>
      <c r="C419" s="2" t="s">
        <v>188</v>
      </c>
      <c r="D419" s="2" t="s">
        <v>189</v>
      </c>
      <c r="E419" s="6" t="n">
        <v>1000</v>
      </c>
      <c r="F419" s="7" t="n">
        <v>7</v>
      </c>
      <c r="G419" s="6" t="n">
        <v>11.26</v>
      </c>
      <c r="H419" s="6" t="n">
        <v>10</v>
      </c>
      <c r="I419" s="6" t="n">
        <v>78.82</v>
      </c>
      <c r="J419" s="6" t="n">
        <v>68.82</v>
      </c>
    </row>
    <row collapsed="false" customFormat="false" customHeight="false" hidden="false" ht="12.1" outlineLevel="0" r="420">
      <c r="A420" s="39" t="n">
        <v>46316</v>
      </c>
      <c r="B420" s="2" t="s">
        <v>803</v>
      </c>
      <c r="C420" s="2" t="s">
        <v>182</v>
      </c>
      <c r="D420" s="2" t="s">
        <v>183</v>
      </c>
      <c r="E420" s="6" t="n">
        <v>1000</v>
      </c>
      <c r="F420" s="7" t="n">
        <v>12</v>
      </c>
      <c r="G420" s="6" t="n">
        <v>16.83</v>
      </c>
      <c r="H420" s="6" t="n">
        <v>26</v>
      </c>
      <c r="I420" s="6" t="n">
        <v>201.96</v>
      </c>
      <c r="J420" s="6" t="n">
        <v>175.96</v>
      </c>
    </row>
    <row collapsed="false" customFormat="false" customHeight="false" hidden="false" ht="12.1" outlineLevel="0" r="421">
      <c r="A421" s="39" t="n">
        <v>46324</v>
      </c>
      <c r="B421" s="2" t="s">
        <v>803</v>
      </c>
      <c r="C421" s="2" t="s">
        <v>191</v>
      </c>
      <c r="D421" s="2" t="s">
        <v>192</v>
      </c>
      <c r="E421" s="6" t="n">
        <v>1000</v>
      </c>
      <c r="F421" s="7" t="n">
        <v>5</v>
      </c>
      <c r="G421" s="6" t="n">
        <v>64.82</v>
      </c>
      <c r="H421" s="6" t="n">
        <v>42</v>
      </c>
      <c r="I421" s="6" t="n">
        <v>324.1</v>
      </c>
      <c r="J421" s="6" t="n">
        <v>282.1</v>
      </c>
    </row>
    <row collapsed="false" customFormat="false" customHeight="false" hidden="false" ht="12.1" outlineLevel="0" r="422">
      <c r="A422" s="39" t="n">
        <v>46325</v>
      </c>
      <c r="B422" s="2" t="s">
        <v>803</v>
      </c>
      <c r="C422" s="2" t="s">
        <v>194</v>
      </c>
      <c r="D422" s="2" t="s">
        <v>195</v>
      </c>
      <c r="E422" s="6" t="n">
        <v>560</v>
      </c>
      <c r="F422" s="7" t="n">
        <v>10</v>
      </c>
      <c r="G422" s="6" t="n">
        <v>0.53</v>
      </c>
      <c r="H422" s="6" t="n">
        <v>1</v>
      </c>
      <c r="I422" s="6" t="n">
        <v>5.3</v>
      </c>
      <c r="J422" s="6" t="n">
        <v>4.3</v>
      </c>
    </row>
    <row collapsed="false" customFormat="false" customHeight="false" hidden="false" ht="12.1" outlineLevel="0" r="423">
      <c r="A423" s="39" t="n">
        <v>46326</v>
      </c>
      <c r="B423" s="2" t="s">
        <v>803</v>
      </c>
      <c r="C423" s="2" t="s">
        <v>221</v>
      </c>
      <c r="D423" s="2" t="s">
        <v>222</v>
      </c>
      <c r="E423" s="6" t="n">
        <v>362.02000000000004</v>
      </c>
      <c r="F423" s="7" t="n">
        <v>7</v>
      </c>
      <c r="G423" s="6" t="n">
        <v>0.47</v>
      </c>
      <c r="H423" s="6" t="n">
        <v>0</v>
      </c>
      <c r="I423" s="6" t="n">
        <v>3.29</v>
      </c>
      <c r="J423" s="6" t="n">
        <v>3.29</v>
      </c>
    </row>
    <row collapsed="false" customFormat="false" customHeight="false" hidden="false" ht="12.1" outlineLevel="0" r="424">
      <c r="A424" s="39" t="n">
        <v>46337</v>
      </c>
      <c r="B424" s="2" t="s">
        <v>803</v>
      </c>
      <c r="C424" s="2" t="s">
        <v>215</v>
      </c>
      <c r="D424" s="2" t="s">
        <v>216</v>
      </c>
      <c r="E424" s="6" t="n">
        <v>800</v>
      </c>
      <c r="F424" s="7" t="n">
        <v>5</v>
      </c>
      <c r="G424" s="6" t="n">
        <v>23.93</v>
      </c>
      <c r="H424" s="6" t="n">
        <v>16</v>
      </c>
      <c r="I424" s="6" t="n">
        <v>119.65</v>
      </c>
      <c r="J424" s="6" t="n">
        <v>103.65</v>
      </c>
    </row>
    <row collapsed="false" customFormat="false" customHeight="false" hidden="false" ht="12.1" outlineLevel="0" r="425">
      <c r="A425" s="39" t="n">
        <v>46339</v>
      </c>
      <c r="B425" s="2" t="s">
        <v>803</v>
      </c>
      <c r="C425" s="2" t="s">
        <v>155</v>
      </c>
      <c r="D425" s="2" t="s">
        <v>156</v>
      </c>
      <c r="E425" s="6" t="n">
        <v>1000</v>
      </c>
      <c r="F425" s="7" t="n">
        <v>31</v>
      </c>
      <c r="G425" s="6" t="n">
        <v>5.59</v>
      </c>
      <c r="H425" s="6" t="n">
        <v>23</v>
      </c>
      <c r="I425" s="6" t="n">
        <v>173.29</v>
      </c>
      <c r="J425" s="6" t="n">
        <v>150.29</v>
      </c>
    </row>
    <row collapsed="false" customFormat="false" customHeight="false" hidden="false" ht="12.1" outlineLevel="0" r="426">
      <c r="A426" s="39" t="n">
        <v>46343</v>
      </c>
      <c r="B426" s="2" t="s">
        <v>803</v>
      </c>
      <c r="C426" s="2" t="s">
        <v>185</v>
      </c>
      <c r="D426" s="2" t="s">
        <v>186</v>
      </c>
      <c r="E426" s="6" t="n">
        <v>1000</v>
      </c>
      <c r="F426" s="7" t="n">
        <v>10</v>
      </c>
      <c r="G426" s="6" t="n">
        <v>28.42</v>
      </c>
      <c r="H426" s="6" t="n">
        <v>37</v>
      </c>
      <c r="I426" s="6" t="n">
        <v>284.2</v>
      </c>
      <c r="J426" s="6" t="n">
        <v>247.2</v>
      </c>
    </row>
    <row collapsed="false" customFormat="false" customHeight="false" hidden="false" ht="12.1" outlineLevel="0" r="427">
      <c r="A427" s="39" t="n">
        <v>46346</v>
      </c>
      <c r="B427" s="2" t="s">
        <v>803</v>
      </c>
      <c r="C427" s="2" t="s">
        <v>188</v>
      </c>
      <c r="D427" s="2" t="s">
        <v>189</v>
      </c>
      <c r="E427" s="6" t="n">
        <v>1000</v>
      </c>
      <c r="F427" s="7" t="n">
        <v>7</v>
      </c>
      <c r="G427" s="6" t="n">
        <v>11.26</v>
      </c>
      <c r="H427" s="6" t="n">
        <v>10</v>
      </c>
      <c r="I427" s="6" t="n">
        <v>78.82</v>
      </c>
      <c r="J427" s="6" t="n">
        <v>68.82</v>
      </c>
    </row>
    <row collapsed="false" customFormat="false" customHeight="false" hidden="false" ht="12.1" outlineLevel="0" r="428">
      <c r="A428" s="39" t="n">
        <v>46350</v>
      </c>
      <c r="B428" s="2" t="s">
        <v>803</v>
      </c>
      <c r="C428" s="2" t="s">
        <v>161</v>
      </c>
      <c r="D428" s="2" t="s">
        <v>162</v>
      </c>
      <c r="E428" s="6" t="n">
        <v>1000</v>
      </c>
      <c r="F428" s="7" t="n">
        <v>34</v>
      </c>
      <c r="G428" s="6" t="n">
        <v>47.37</v>
      </c>
      <c r="H428" s="6" t="n">
        <v>209</v>
      </c>
      <c r="I428" s="6" t="n">
        <v>1610.58</v>
      </c>
      <c r="J428" s="6" t="n">
        <v>1401.58</v>
      </c>
    </row>
    <row collapsed="false" customFormat="false" customHeight="false" hidden="false" ht="12.1" outlineLevel="0" r="429">
      <c r="A429" s="39" t="n">
        <v>46350</v>
      </c>
      <c r="B429" s="2" t="s">
        <v>803</v>
      </c>
      <c r="C429" s="2" t="s">
        <v>164</v>
      </c>
      <c r="D429" s="2" t="s">
        <v>165</v>
      </c>
      <c r="E429" s="6" t="n">
        <v>1000</v>
      </c>
      <c r="F429" s="7" t="n">
        <v>20</v>
      </c>
      <c r="G429" s="6" t="n">
        <v>61.08</v>
      </c>
      <c r="H429" s="6" t="n">
        <v>159</v>
      </c>
      <c r="I429" s="6" t="n">
        <v>1221.6</v>
      </c>
      <c r="J429" s="6" t="n">
        <v>1062.6</v>
      </c>
    </row>
    <row collapsed="false" customFormat="false" customHeight="false" hidden="false" ht="12.1" outlineLevel="0" r="430">
      <c r="A430" s="39" t="n">
        <v>46356</v>
      </c>
      <c r="B430" s="2" t="s">
        <v>803</v>
      </c>
      <c r="C430" s="2" t="s">
        <v>221</v>
      </c>
      <c r="D430" s="2" t="s">
        <v>222</v>
      </c>
      <c r="E430" s="6" t="n">
        <v>362.02000000000004</v>
      </c>
      <c r="F430" s="7" t="n">
        <v>7</v>
      </c>
      <c r="G430" s="6" t="n">
        <v>0.35</v>
      </c>
      <c r="H430" s="6" t="n">
        <v>0</v>
      </c>
      <c r="I430" s="6" t="n">
        <v>2.45</v>
      </c>
      <c r="J430" s="6" t="n">
        <v>2.45</v>
      </c>
    </row>
    <row collapsed="false" customFormat="false" customHeight="false" hidden="false" ht="12.1" outlineLevel="0" r="431">
      <c r="A431" s="39" t="n">
        <v>46356</v>
      </c>
      <c r="B431" s="2" t="s">
        <v>803</v>
      </c>
      <c r="C431" s="2" t="s">
        <v>200</v>
      </c>
      <c r="D431" s="2" t="s">
        <v>201</v>
      </c>
      <c r="E431" s="6" t="n">
        <v>1000</v>
      </c>
      <c r="F431" s="7" t="n">
        <v>5</v>
      </c>
      <c r="G431" s="6" t="n">
        <v>56.1</v>
      </c>
      <c r="H431" s="6" t="n">
        <v>36</v>
      </c>
      <c r="I431" s="6" t="n">
        <v>280.5</v>
      </c>
      <c r="J431" s="6" t="n">
        <v>244.5</v>
      </c>
    </row>
    <row collapsed="false" customFormat="false" customHeight="false" hidden="false" ht="12.1" outlineLevel="0" r="432">
      <c r="A432" s="39" t="n">
        <v>46357</v>
      </c>
      <c r="B432" s="2" t="s">
        <v>803</v>
      </c>
      <c r="C432" s="2" t="s">
        <v>136</v>
      </c>
      <c r="D432" s="2" t="s">
        <v>138</v>
      </c>
      <c r="E432" s="6" t="n">
        <v>1000</v>
      </c>
      <c r="F432" s="7" t="n">
        <v>88</v>
      </c>
      <c r="G432" s="6" t="n">
        <v>35.4</v>
      </c>
      <c r="H432" s="6" t="n">
        <v>405</v>
      </c>
      <c r="I432" s="6" t="n">
        <v>3115.2</v>
      </c>
      <c r="J432" s="6" t="n">
        <v>2710.2</v>
      </c>
    </row>
    <row collapsed="false" customFormat="false" customHeight="false" hidden="false" ht="12.1" outlineLevel="0" r="433">
      <c r="A433" s="39" t="n">
        <v>46357</v>
      </c>
      <c r="B433" s="2" t="s">
        <v>803</v>
      </c>
      <c r="C433" s="2" t="s">
        <v>167</v>
      </c>
      <c r="D433" s="2" t="s">
        <v>168</v>
      </c>
      <c r="E433" s="6" t="n">
        <v>1000</v>
      </c>
      <c r="F433" s="7" t="n">
        <v>20</v>
      </c>
      <c r="G433" s="6" t="n">
        <v>61.08</v>
      </c>
      <c r="H433" s="6" t="n">
        <v>159</v>
      </c>
      <c r="I433" s="6" t="n">
        <v>1221.6</v>
      </c>
      <c r="J433" s="6" t="n">
        <v>1062.6</v>
      </c>
    </row>
    <row collapsed="false" customFormat="false" customHeight="false" hidden="false" ht="12.1" outlineLevel="0" r="434">
      <c r="A434" s="39" t="n">
        <v>46357</v>
      </c>
      <c r="B434" s="2" t="s">
        <v>803</v>
      </c>
      <c r="C434" s="2" t="s">
        <v>143</v>
      </c>
      <c r="D434" s="2" t="s">
        <v>144</v>
      </c>
      <c r="E434" s="6" t="n">
        <v>1000</v>
      </c>
      <c r="F434" s="7" t="n">
        <v>53</v>
      </c>
      <c r="G434" s="6" t="n">
        <v>48.87</v>
      </c>
      <c r="H434" s="6" t="n">
        <v>337</v>
      </c>
      <c r="I434" s="6" t="n">
        <v>2590.11</v>
      </c>
      <c r="J434" s="6" t="n">
        <v>2253.11</v>
      </c>
    </row>
    <row collapsed="false" customFormat="false" customHeight="false" hidden="false" ht="12.1" outlineLevel="0" r="435">
      <c r="A435" s="39" t="n">
        <v>46362</v>
      </c>
      <c r="B435" s="2" t="s">
        <v>803</v>
      </c>
      <c r="C435" s="2" t="s">
        <v>236</v>
      </c>
      <c r="D435" s="2" t="s">
        <v>237</v>
      </c>
      <c r="E435" s="6" t="n">
        <v>1000</v>
      </c>
      <c r="F435" s="7" t="n">
        <v>1</v>
      </c>
      <c r="G435" s="6" t="n">
        <v>81.78</v>
      </c>
      <c r="H435" s="6" t="n">
        <v>11</v>
      </c>
      <c r="I435" s="6" t="n">
        <v>81.78</v>
      </c>
      <c r="J435" s="6" t="n">
        <v>70.78</v>
      </c>
    </row>
    <row collapsed="false" customFormat="false" customHeight="false" hidden="false" ht="12.1" outlineLevel="0" r="436">
      <c r="A436" s="39" t="n">
        <v>46364</v>
      </c>
      <c r="B436" s="2" t="s">
        <v>803</v>
      </c>
      <c r="C436" s="2" t="s">
        <v>242</v>
      </c>
      <c r="D436" s="2" t="s">
        <v>243</v>
      </c>
      <c r="E436" s="6" t="n">
        <v>553.32</v>
      </c>
      <c r="F436" s="7" t="n">
        <v>1</v>
      </c>
      <c r="G436" s="6" t="n">
        <v>27.68</v>
      </c>
      <c r="H436" s="6" t="n">
        <v>4</v>
      </c>
      <c r="I436" s="6" t="n">
        <v>27.68</v>
      </c>
      <c r="J436" s="6" t="n">
        <v>23.68</v>
      </c>
    </row>
    <row collapsed="false" customFormat="false" customHeight="false" hidden="false" ht="12.1" outlineLevel="0" r="437">
      <c r="A437" s="39" t="n">
        <v>46366</v>
      </c>
      <c r="B437" s="2" t="s">
        <v>803</v>
      </c>
      <c r="C437" s="2" t="s">
        <v>173</v>
      </c>
      <c r="D437" s="2" t="s">
        <v>174</v>
      </c>
      <c r="E437" s="6" t="n">
        <v>1000</v>
      </c>
      <c r="F437" s="7" t="n">
        <v>20</v>
      </c>
      <c r="G437" s="6" t="n">
        <v>17.83</v>
      </c>
      <c r="H437" s="6" t="n">
        <v>46</v>
      </c>
      <c r="I437" s="6" t="n">
        <v>356.6</v>
      </c>
      <c r="J437" s="6" t="n">
        <v>310.6</v>
      </c>
    </row>
    <row collapsed="false" customFormat="false" customHeight="false" hidden="false" ht="12.1" outlineLevel="0" r="438">
      <c r="A438" s="39" t="n">
        <v>46369</v>
      </c>
      <c r="B438" s="2" t="s">
        <v>803</v>
      </c>
      <c r="C438" s="2" t="s">
        <v>155</v>
      </c>
      <c r="D438" s="2" t="s">
        <v>156</v>
      </c>
      <c r="E438" s="6" t="n">
        <v>1000</v>
      </c>
      <c r="F438" s="7" t="n">
        <v>31</v>
      </c>
      <c r="G438" s="6" t="n">
        <v>5.59</v>
      </c>
      <c r="H438" s="6" t="n">
        <v>23</v>
      </c>
      <c r="I438" s="6" t="n">
        <v>173.29</v>
      </c>
      <c r="J438" s="6" t="n">
        <v>150.29</v>
      </c>
    </row>
    <row collapsed="false" customFormat="false" customHeight="false" hidden="false" ht="12.1" outlineLevel="0" r="439">
      <c r="A439" s="39" t="n">
        <v>46376</v>
      </c>
      <c r="B439" s="2" t="s">
        <v>803</v>
      </c>
      <c r="C439" s="2" t="s">
        <v>188</v>
      </c>
      <c r="D439" s="2" t="s">
        <v>189</v>
      </c>
      <c r="E439" s="6" t="n">
        <v>1000</v>
      </c>
      <c r="F439" s="7" t="n">
        <v>7</v>
      </c>
      <c r="G439" s="6" t="n">
        <v>11.26</v>
      </c>
      <c r="H439" s="6" t="n">
        <v>10</v>
      </c>
      <c r="I439" s="6" t="n">
        <v>78.82</v>
      </c>
      <c r="J439" s="6" t="n">
        <v>68.82</v>
      </c>
    </row>
    <row collapsed="false" customFormat="false" customHeight="false" hidden="false" ht="12.1" outlineLevel="0" r="440">
      <c r="A440" s="39" t="n">
        <v>46387</v>
      </c>
      <c r="B440" s="2" t="s">
        <v>803</v>
      </c>
      <c r="C440" s="2" t="s">
        <v>221</v>
      </c>
      <c r="D440" s="2" t="s">
        <v>222</v>
      </c>
      <c r="E440" s="6" t="n">
        <v>362.02000000000004</v>
      </c>
      <c r="F440" s="7" t="n">
        <v>7</v>
      </c>
      <c r="G440" s="6" t="n">
        <v>0.25</v>
      </c>
      <c r="H440" s="6" t="n">
        <v>0</v>
      </c>
      <c r="I440" s="6" t="n">
        <v>1.75</v>
      </c>
      <c r="J440" s="6" t="n">
        <v>1.75</v>
      </c>
    </row>
    <row collapsed="false" customFormat="false" customHeight="false" hidden="false" ht="12.1" outlineLevel="0" r="441">
      <c r="A441" s="39" t="n">
        <v>46399</v>
      </c>
      <c r="B441" s="2" t="s">
        <v>803</v>
      </c>
      <c r="C441" s="2" t="s">
        <v>155</v>
      </c>
      <c r="D441" s="2" t="s">
        <v>156</v>
      </c>
      <c r="E441" s="6" t="n">
        <v>1000</v>
      </c>
      <c r="F441" s="7" t="n">
        <v>31</v>
      </c>
      <c r="G441" s="6" t="n">
        <v>2.79</v>
      </c>
      <c r="H441" s="6" t="n">
        <v>11</v>
      </c>
      <c r="I441" s="6" t="n">
        <v>86.49</v>
      </c>
      <c r="J441" s="6" t="n">
        <v>75.49</v>
      </c>
    </row>
    <row collapsed="false" customFormat="false" customHeight="false" hidden="false" ht="12.1" outlineLevel="0" r="442">
      <c r="A442" s="39" t="n">
        <v>46406</v>
      </c>
      <c r="B442" s="2" t="s">
        <v>803</v>
      </c>
      <c r="C442" s="2" t="s">
        <v>188</v>
      </c>
      <c r="D442" s="2" t="s">
        <v>189</v>
      </c>
      <c r="E442" s="6" t="n">
        <v>1000</v>
      </c>
      <c r="F442" s="7" t="n">
        <v>7</v>
      </c>
      <c r="G442" s="6" t="n">
        <v>11.26</v>
      </c>
      <c r="H442" s="6" t="n">
        <v>10</v>
      </c>
      <c r="I442" s="6" t="n">
        <v>78.82</v>
      </c>
      <c r="J442" s="6" t="n">
        <v>68.82</v>
      </c>
    </row>
    <row collapsed="false" customFormat="false" customHeight="false" hidden="false" ht="12.1" outlineLevel="0" r="443">
      <c r="A443" s="39" t="n">
        <v>46407</v>
      </c>
      <c r="B443" s="2" t="s">
        <v>803</v>
      </c>
      <c r="C443" s="2" t="s">
        <v>182</v>
      </c>
      <c r="D443" s="2" t="s">
        <v>183</v>
      </c>
      <c r="E443" s="6" t="n">
        <v>1000</v>
      </c>
      <c r="F443" s="7" t="n">
        <v>12</v>
      </c>
      <c r="G443" s="6" t="n">
        <v>16.83</v>
      </c>
      <c r="H443" s="6" t="n">
        <v>26</v>
      </c>
      <c r="I443" s="6" t="n">
        <v>201.96</v>
      </c>
      <c r="J443" s="6" t="n">
        <v>175.96</v>
      </c>
    </row>
    <row collapsed="false" customFormat="false" customHeight="false" hidden="false" ht="12.1" outlineLevel="0" r="444">
      <c r="A444" s="39" t="n">
        <v>46418</v>
      </c>
      <c r="B444" s="2" t="s">
        <v>803</v>
      </c>
      <c r="C444" s="2" t="s">
        <v>221</v>
      </c>
      <c r="D444" s="2" t="s">
        <v>222</v>
      </c>
      <c r="E444" s="6" t="n">
        <v>362.02000000000004</v>
      </c>
      <c r="F444" s="7" t="n">
        <v>7</v>
      </c>
      <c r="G444" s="6" t="n">
        <v>0.15</v>
      </c>
      <c r="H444" s="6" t="n">
        <v>0</v>
      </c>
      <c r="I444" s="6" t="n">
        <v>1.05</v>
      </c>
      <c r="J444" s="6" t="n">
        <v>1.05</v>
      </c>
    </row>
    <row collapsed="false" customFormat="false" customHeight="false" hidden="false" ht="12.1" outlineLevel="0" r="445">
      <c r="A445" s="39" t="n">
        <v>46427</v>
      </c>
      <c r="B445" s="2" t="s">
        <v>803</v>
      </c>
      <c r="C445" s="2" t="s">
        <v>140</v>
      </c>
      <c r="D445" s="2" t="s">
        <v>141</v>
      </c>
      <c r="E445" s="6" t="n">
        <v>1000</v>
      </c>
      <c r="F445" s="7" t="n">
        <v>80</v>
      </c>
      <c r="G445" s="6" t="n">
        <v>34.9</v>
      </c>
      <c r="H445" s="6" t="n">
        <v>363</v>
      </c>
      <c r="I445" s="6" t="n">
        <v>2792</v>
      </c>
      <c r="J445" s="6" t="n">
        <v>2429</v>
      </c>
    </row>
    <row collapsed="false" customFormat="false" customHeight="false" hidden="false" ht="12.1" outlineLevel="0" r="446">
      <c r="A446" s="39" t="n">
        <v>46428</v>
      </c>
      <c r="B446" s="2" t="s">
        <v>803</v>
      </c>
      <c r="C446" s="2" t="s">
        <v>215</v>
      </c>
      <c r="D446" s="2" t="s">
        <v>216</v>
      </c>
      <c r="E446" s="6" t="n">
        <v>800</v>
      </c>
      <c r="F446" s="7" t="n">
        <v>5</v>
      </c>
      <c r="G446" s="6" t="n">
        <v>19.95</v>
      </c>
      <c r="H446" s="6" t="n">
        <v>13</v>
      </c>
      <c r="I446" s="6" t="n">
        <v>99.75</v>
      </c>
      <c r="J446" s="6" t="n">
        <v>86.75</v>
      </c>
    </row>
    <row collapsed="false" customFormat="false" customHeight="false" hidden="false" ht="12.1" outlineLevel="0" r="447">
      <c r="A447" s="39" t="n">
        <v>46429</v>
      </c>
      <c r="B447" s="2" t="s">
        <v>803</v>
      </c>
      <c r="C447" s="2" t="s">
        <v>155</v>
      </c>
      <c r="D447" s="2" t="s">
        <v>156</v>
      </c>
      <c r="E447" s="6" t="n">
        <v>1000</v>
      </c>
      <c r="F447" s="7" t="n">
        <v>31</v>
      </c>
      <c r="G447" s="6" t="n">
        <v>2.79</v>
      </c>
      <c r="H447" s="6" t="n">
        <v>11</v>
      </c>
      <c r="I447" s="6" t="n">
        <v>86.49</v>
      </c>
      <c r="J447" s="6" t="n">
        <v>75.49</v>
      </c>
    </row>
    <row collapsed="false" customFormat="false" customHeight="false" hidden="false" ht="12.1" outlineLevel="0" r="448">
      <c r="A448" s="39" t="n">
        <v>46436</v>
      </c>
      <c r="B448" s="2" t="s">
        <v>803</v>
      </c>
      <c r="C448" s="2" t="s">
        <v>188</v>
      </c>
      <c r="D448" s="2" t="s">
        <v>189</v>
      </c>
      <c r="E448" s="6" t="n">
        <v>1000</v>
      </c>
      <c r="F448" s="7" t="n">
        <v>7</v>
      </c>
      <c r="G448" s="6" t="n">
        <v>11.26</v>
      </c>
      <c r="H448" s="6" t="n">
        <v>10</v>
      </c>
      <c r="I448" s="6" t="n">
        <v>78.82</v>
      </c>
      <c r="J448" s="6" t="n">
        <v>68.82</v>
      </c>
    </row>
    <row collapsed="false" customFormat="false" customHeight="false" hidden="false" ht="12.1" outlineLevel="0" r="449">
      <c r="A449" s="39" t="n">
        <v>46446</v>
      </c>
      <c r="B449" s="2" t="s">
        <v>803</v>
      </c>
      <c r="C449" s="2" t="s">
        <v>221</v>
      </c>
      <c r="D449" s="2" t="s">
        <v>222</v>
      </c>
      <c r="E449" s="6" t="n">
        <v>362.02000000000004</v>
      </c>
      <c r="F449" s="7" t="n">
        <v>7</v>
      </c>
      <c r="G449" s="6" t="n">
        <v>0.05</v>
      </c>
      <c r="H449" s="6" t="n">
        <v>0</v>
      </c>
      <c r="I449" s="6" t="n">
        <v>0.35</v>
      </c>
      <c r="J449" s="6" t="n">
        <v>0.35</v>
      </c>
    </row>
    <row collapsed="false" customFormat="false" customHeight="false" hidden="false" ht="12.1" outlineLevel="0" r="450">
      <c r="A450" s="39" t="n">
        <v>46448</v>
      </c>
      <c r="B450" s="2" t="s">
        <v>803</v>
      </c>
      <c r="C450" s="2" t="s">
        <v>206</v>
      </c>
      <c r="D450" s="2" t="s">
        <v>207</v>
      </c>
      <c r="E450" s="6" t="n">
        <v>1000</v>
      </c>
      <c r="F450" s="7" t="n">
        <v>5</v>
      </c>
      <c r="G450" s="6" t="n">
        <v>46.12</v>
      </c>
      <c r="H450" s="6" t="n">
        <v>30</v>
      </c>
      <c r="I450" s="6" t="n">
        <v>230.6</v>
      </c>
      <c r="J450" s="6" t="n">
        <v>200.6</v>
      </c>
    </row>
    <row collapsed="false" customFormat="false" customHeight="false" hidden="false" ht="12.1" outlineLevel="0" r="451">
      <c r="A451" s="39" t="n">
        <v>46455</v>
      </c>
      <c r="B451" s="2" t="s">
        <v>803</v>
      </c>
      <c r="C451" s="2" t="s">
        <v>242</v>
      </c>
      <c r="D451" s="2" t="s">
        <v>243</v>
      </c>
      <c r="E451" s="6" t="n">
        <v>553.32</v>
      </c>
      <c r="F451" s="7" t="n">
        <v>1</v>
      </c>
      <c r="G451" s="6" t="n">
        <v>26.5</v>
      </c>
      <c r="H451" s="6" t="n">
        <v>3</v>
      </c>
      <c r="I451" s="6" t="n">
        <v>26.5</v>
      </c>
      <c r="J451" s="6" t="n">
        <v>23.5</v>
      </c>
    </row>
    <row collapsed="false" customFormat="false" customHeight="false" hidden="false" ht="12.1" outlineLevel="0" r="452">
      <c r="A452" s="39" t="n">
        <v>46457</v>
      </c>
      <c r="B452" s="2" t="s">
        <v>803</v>
      </c>
      <c r="C452" s="2" t="s">
        <v>173</v>
      </c>
      <c r="D452" s="2" t="s">
        <v>174</v>
      </c>
      <c r="E452" s="6" t="n">
        <v>1000</v>
      </c>
      <c r="F452" s="7" t="n">
        <v>20</v>
      </c>
      <c r="G452" s="6" t="n">
        <v>17.83</v>
      </c>
      <c r="H452" s="6" t="n">
        <v>46</v>
      </c>
      <c r="I452" s="6" t="n">
        <v>356.6</v>
      </c>
      <c r="J452" s="6" t="n">
        <v>310.6</v>
      </c>
    </row>
    <row collapsed="false" customFormat="false" customHeight="false" hidden="false" ht="12.1" outlineLevel="0" r="453">
      <c r="A453" s="39" t="n">
        <v>46459</v>
      </c>
      <c r="B453" s="2" t="s">
        <v>803</v>
      </c>
      <c r="C453" s="2" t="s">
        <v>155</v>
      </c>
      <c r="D453" s="2" t="s">
        <v>156</v>
      </c>
      <c r="E453" s="6" t="n">
        <v>1000</v>
      </c>
      <c r="F453" s="7" t="n">
        <v>31</v>
      </c>
      <c r="G453" s="6" t="n">
        <v>2.79</v>
      </c>
      <c r="H453" s="6" t="n">
        <v>11</v>
      </c>
      <c r="I453" s="6" t="n">
        <v>86.49</v>
      </c>
      <c r="J453" s="6" t="n">
        <v>75.49</v>
      </c>
    </row>
    <row collapsed="false" customFormat="false" customHeight="false" hidden="false" ht="12.1" outlineLevel="0" r="454">
      <c r="A454" s="39" t="n">
        <v>46462</v>
      </c>
      <c r="B454" s="2" t="s">
        <v>803</v>
      </c>
      <c r="C454" s="2" t="s">
        <v>158</v>
      </c>
      <c r="D454" s="2" t="s">
        <v>159</v>
      </c>
      <c r="E454" s="6" t="n">
        <v>1000</v>
      </c>
      <c r="F454" s="7" t="n">
        <v>34</v>
      </c>
      <c r="G454" s="6" t="n">
        <v>33.41</v>
      </c>
      <c r="H454" s="6" t="n">
        <v>148</v>
      </c>
      <c r="I454" s="6" t="n">
        <v>1135.94</v>
      </c>
      <c r="J454" s="6" t="n">
        <v>987.94</v>
      </c>
    </row>
    <row collapsed="false" customFormat="false" customHeight="false" hidden="false" ht="12.1" outlineLevel="0" r="455">
      <c r="A455" s="39" t="n">
        <v>46466</v>
      </c>
      <c r="B455" s="2" t="s">
        <v>803</v>
      </c>
      <c r="C455" s="2" t="s">
        <v>188</v>
      </c>
      <c r="D455" s="2" t="s">
        <v>189</v>
      </c>
      <c r="E455" s="6" t="n">
        <v>1000</v>
      </c>
      <c r="F455" s="7" t="n">
        <v>7</v>
      </c>
      <c r="G455" s="6" t="n">
        <v>11.26</v>
      </c>
      <c r="H455" s="6" t="n">
        <v>10</v>
      </c>
      <c r="I455" s="6" t="n">
        <v>78.82</v>
      </c>
      <c r="J455" s="6" t="n">
        <v>68.82</v>
      </c>
    </row>
    <row collapsed="false" customFormat="false" customHeight="false" hidden="false" ht="12.1" outlineLevel="0" r="456">
      <c r="A456" s="39" t="n">
        <v>46469</v>
      </c>
      <c r="B456" s="2" t="s">
        <v>803</v>
      </c>
      <c r="C456" s="2" t="s">
        <v>152</v>
      </c>
      <c r="D456" s="2" t="s">
        <v>153</v>
      </c>
      <c r="E456" s="6" t="n">
        <v>1000</v>
      </c>
      <c r="F456" s="7" t="n">
        <v>34</v>
      </c>
      <c r="G456" s="6" t="n">
        <v>59.84</v>
      </c>
      <c r="H456" s="6" t="n">
        <v>264</v>
      </c>
      <c r="I456" s="6" t="n">
        <v>2034.56</v>
      </c>
      <c r="J456" s="6" t="n">
        <v>1770.56</v>
      </c>
    </row>
    <row collapsed="false" customFormat="false" customHeight="false" hidden="false" ht="12.1" outlineLevel="0" r="457">
      <c r="A457" s="39" t="n">
        <v>46469</v>
      </c>
      <c r="B457" s="2" t="s">
        <v>803</v>
      </c>
      <c r="C457" s="2" t="s">
        <v>146</v>
      </c>
      <c r="D457" s="2" t="s">
        <v>147</v>
      </c>
      <c r="E457" s="6" t="n">
        <v>1000</v>
      </c>
      <c r="F457" s="7" t="n">
        <v>40</v>
      </c>
      <c r="G457" s="6" t="n">
        <v>56.1</v>
      </c>
      <c r="H457" s="6" t="n">
        <v>292</v>
      </c>
      <c r="I457" s="6" t="n">
        <v>2244</v>
      </c>
      <c r="J457" s="6" t="n">
        <v>1952</v>
      </c>
    </row>
    <row collapsed="false" customFormat="false" customHeight="false" hidden="false" ht="12.1" outlineLevel="0" r="458">
      <c r="A458" s="39" t="n">
        <v>46476</v>
      </c>
      <c r="B458" s="2" t="s">
        <v>803</v>
      </c>
      <c r="C458" s="2" t="s">
        <v>149</v>
      </c>
      <c r="D458" s="2" t="s">
        <v>150</v>
      </c>
      <c r="E458" s="6" t="n">
        <v>1000</v>
      </c>
      <c r="F458" s="7" t="n">
        <v>45</v>
      </c>
      <c r="G458" s="6" t="n">
        <v>38.39</v>
      </c>
      <c r="H458" s="6" t="n">
        <v>225</v>
      </c>
      <c r="I458" s="6" t="n">
        <v>1727.55</v>
      </c>
      <c r="J458" s="6" t="n">
        <v>1502.55</v>
      </c>
    </row>
    <row collapsed="false" customFormat="false" customHeight="false" hidden="false" ht="12.1" outlineLevel="0" r="459">
      <c r="A459" s="39" t="n">
        <v>46496</v>
      </c>
      <c r="B459" s="2" t="s">
        <v>803</v>
      </c>
      <c r="C459" s="2" t="s">
        <v>188</v>
      </c>
      <c r="D459" s="2" t="s">
        <v>189</v>
      </c>
      <c r="E459" s="6" t="n">
        <v>1000</v>
      </c>
      <c r="F459" s="7" t="n">
        <v>7</v>
      </c>
      <c r="G459" s="6" t="n">
        <v>11.26</v>
      </c>
      <c r="H459" s="6" t="n">
        <v>10</v>
      </c>
      <c r="I459" s="6" t="n">
        <v>78.82</v>
      </c>
      <c r="J459" s="6" t="n">
        <v>68.82</v>
      </c>
    </row>
    <row collapsed="false" customFormat="false" customHeight="false" hidden="false" ht="12.1" outlineLevel="0" r="460">
      <c r="A460" s="39" t="n">
        <v>46498</v>
      </c>
      <c r="B460" s="2" t="s">
        <v>803</v>
      </c>
      <c r="C460" s="2" t="s">
        <v>182</v>
      </c>
      <c r="D460" s="2" t="s">
        <v>183</v>
      </c>
      <c r="E460" s="6" t="n">
        <v>1000</v>
      </c>
      <c r="F460" s="7" t="n">
        <v>12</v>
      </c>
      <c r="G460" s="6" t="n">
        <v>16.83</v>
      </c>
      <c r="H460" s="6" t="n">
        <v>26</v>
      </c>
      <c r="I460" s="6" t="n">
        <v>201.96</v>
      </c>
      <c r="J460" s="6" t="n">
        <v>175.96</v>
      </c>
    </row>
    <row collapsed="false" customFormat="false" customHeight="false" hidden="false" ht="12.1" outlineLevel="0" r="461">
      <c r="A461" s="39" t="n">
        <v>46519</v>
      </c>
      <c r="B461" s="2" t="s">
        <v>803</v>
      </c>
      <c r="C461" s="2" t="s">
        <v>215</v>
      </c>
      <c r="D461" s="2" t="s">
        <v>216</v>
      </c>
      <c r="E461" s="6" t="n">
        <v>800</v>
      </c>
      <c r="F461" s="7" t="n">
        <v>5</v>
      </c>
      <c r="G461" s="6" t="n">
        <v>15.96</v>
      </c>
      <c r="H461" s="6" t="n">
        <v>10</v>
      </c>
      <c r="I461" s="6" t="n">
        <v>79.8</v>
      </c>
      <c r="J461" s="6" t="n">
        <v>69.8</v>
      </c>
    </row>
    <row collapsed="false" customFormat="false" customHeight="false" hidden="false" ht="12.1" outlineLevel="0" r="462">
      <c r="A462" s="39" t="n">
        <v>46525</v>
      </c>
      <c r="B462" s="2" t="s">
        <v>803</v>
      </c>
      <c r="C462" s="2" t="s">
        <v>185</v>
      </c>
      <c r="D462" s="2" t="s">
        <v>186</v>
      </c>
      <c r="E462" s="6" t="n">
        <v>1000</v>
      </c>
      <c r="F462" s="7" t="n">
        <v>10</v>
      </c>
      <c r="G462" s="6" t="n">
        <v>28.42</v>
      </c>
      <c r="H462" s="6" t="n">
        <v>37</v>
      </c>
      <c r="I462" s="6" t="n">
        <v>284.2</v>
      </c>
      <c r="J462" s="6" t="n">
        <v>247.2</v>
      </c>
    </row>
    <row collapsed="false" customFormat="false" customHeight="false" hidden="false" ht="12.1" outlineLevel="0" r="463">
      <c r="A463" s="39" t="n">
        <v>46526</v>
      </c>
      <c r="B463" s="2" t="s">
        <v>803</v>
      </c>
      <c r="C463" s="2" t="s">
        <v>188</v>
      </c>
      <c r="D463" s="2" t="s">
        <v>189</v>
      </c>
      <c r="E463" s="6" t="n">
        <v>1000</v>
      </c>
      <c r="F463" s="7" t="n">
        <v>7</v>
      </c>
      <c r="G463" s="6" t="n">
        <v>11.26</v>
      </c>
      <c r="H463" s="6" t="n">
        <v>10</v>
      </c>
      <c r="I463" s="6" t="n">
        <v>78.82</v>
      </c>
      <c r="J463" s="6" t="n">
        <v>68.82</v>
      </c>
    </row>
    <row collapsed="false" customFormat="false" customHeight="false" hidden="false" ht="12.1" outlineLevel="0" r="464">
      <c r="A464" s="39" t="n">
        <v>46532</v>
      </c>
      <c r="B464" s="2" t="s">
        <v>803</v>
      </c>
      <c r="C464" s="2" t="s">
        <v>161</v>
      </c>
      <c r="D464" s="2" t="s">
        <v>162</v>
      </c>
      <c r="E464" s="6" t="n">
        <v>1000</v>
      </c>
      <c r="F464" s="7" t="n">
        <v>34</v>
      </c>
      <c r="G464" s="6" t="n">
        <v>47.37</v>
      </c>
      <c r="H464" s="6" t="n">
        <v>209</v>
      </c>
      <c r="I464" s="6" t="n">
        <v>1610.58</v>
      </c>
      <c r="J464" s="6" t="n">
        <v>1401.58</v>
      </c>
    </row>
    <row collapsed="false" customFormat="false" customHeight="false" hidden="false" ht="12.1" outlineLevel="0" r="465">
      <c r="A465" s="39" t="n">
        <v>46532</v>
      </c>
      <c r="B465" s="2" t="s">
        <v>803</v>
      </c>
      <c r="C465" s="2" t="s">
        <v>164</v>
      </c>
      <c r="D465" s="2" t="s">
        <v>165</v>
      </c>
      <c r="E465" s="6" t="n">
        <v>1000</v>
      </c>
      <c r="F465" s="7" t="n">
        <v>20</v>
      </c>
      <c r="G465" s="6" t="n">
        <v>61.08</v>
      </c>
      <c r="H465" s="6" t="n">
        <v>159</v>
      </c>
      <c r="I465" s="6" t="n">
        <v>1221.6</v>
      </c>
      <c r="J465" s="6" t="n">
        <v>1062.6</v>
      </c>
    </row>
    <row collapsed="false" customFormat="false" customHeight="false" hidden="false" ht="12.1" outlineLevel="0" r="466">
      <c r="A466" s="39" t="n">
        <v>46538</v>
      </c>
      <c r="B466" s="2" t="s">
        <v>803</v>
      </c>
      <c r="C466" s="2" t="s">
        <v>200</v>
      </c>
      <c r="D466" s="2" t="s">
        <v>201</v>
      </c>
      <c r="E466" s="6" t="n">
        <v>1000</v>
      </c>
      <c r="F466" s="7" t="n">
        <v>5</v>
      </c>
      <c r="G466" s="6" t="n">
        <v>56.1</v>
      </c>
      <c r="H466" s="6" t="n">
        <v>36</v>
      </c>
      <c r="I466" s="6" t="n">
        <v>280.5</v>
      </c>
      <c r="J466" s="6" t="n">
        <v>244.5</v>
      </c>
    </row>
    <row collapsed="false" customFormat="false" customHeight="false" hidden="false" ht="12.1" outlineLevel="0" r="467">
      <c r="A467" s="39" t="n">
        <v>46539</v>
      </c>
      <c r="B467" s="2" t="s">
        <v>803</v>
      </c>
      <c r="C467" s="2" t="s">
        <v>143</v>
      </c>
      <c r="D467" s="2" t="s">
        <v>144</v>
      </c>
      <c r="E467" s="6" t="n">
        <v>1000</v>
      </c>
      <c r="F467" s="7" t="n">
        <v>53</v>
      </c>
      <c r="G467" s="6" t="n">
        <v>48.87</v>
      </c>
      <c r="H467" s="6" t="n">
        <v>337</v>
      </c>
      <c r="I467" s="6" t="n">
        <v>2590.11</v>
      </c>
      <c r="J467" s="6" t="n">
        <v>2253.11</v>
      </c>
    </row>
    <row collapsed="false" customFormat="false" customHeight="false" hidden="false" ht="12.1" outlineLevel="0" r="468">
      <c r="A468" s="39" t="n">
        <v>46539</v>
      </c>
      <c r="B468" s="2" t="s">
        <v>803</v>
      </c>
      <c r="C468" s="2" t="s">
        <v>136</v>
      </c>
      <c r="D468" s="2" t="s">
        <v>138</v>
      </c>
      <c r="E468" s="6" t="n">
        <v>1000</v>
      </c>
      <c r="F468" s="7" t="n">
        <v>88</v>
      </c>
      <c r="G468" s="6" t="n">
        <v>35.4</v>
      </c>
      <c r="H468" s="6" t="n">
        <v>405</v>
      </c>
      <c r="I468" s="6" t="n">
        <v>3115.2</v>
      </c>
      <c r="J468" s="6" t="n">
        <v>2710.2</v>
      </c>
    </row>
    <row collapsed="false" customFormat="false" customHeight="false" hidden="false" ht="12.1" outlineLevel="0" r="469">
      <c r="A469" s="39" t="n">
        <v>46539</v>
      </c>
      <c r="B469" s="2" t="s">
        <v>803</v>
      </c>
      <c r="C469" s="2" t="s">
        <v>167</v>
      </c>
      <c r="D469" s="2" t="s">
        <v>168</v>
      </c>
      <c r="E469" s="6" t="n">
        <v>1000</v>
      </c>
      <c r="F469" s="7" t="n">
        <v>20</v>
      </c>
      <c r="G469" s="6" t="n">
        <v>61.08</v>
      </c>
      <c r="H469" s="6" t="n">
        <v>159</v>
      </c>
      <c r="I469" s="6" t="n">
        <v>1221.6</v>
      </c>
      <c r="J469" s="6" t="n">
        <v>1062.6</v>
      </c>
    </row>
    <row collapsed="false" customFormat="false" customHeight="false" hidden="false" ht="12.1" outlineLevel="0" r="470">
      <c r="A470" s="39" t="n">
        <v>46544</v>
      </c>
      <c r="B470" s="2" t="s">
        <v>803</v>
      </c>
      <c r="C470" s="2" t="s">
        <v>236</v>
      </c>
      <c r="D470" s="2" t="s">
        <v>237</v>
      </c>
      <c r="E470" s="6" t="n">
        <v>1000</v>
      </c>
      <c r="F470" s="7" t="n">
        <v>1</v>
      </c>
      <c r="G470" s="6" t="n">
        <v>81.78</v>
      </c>
      <c r="H470" s="6" t="n">
        <v>11</v>
      </c>
      <c r="I470" s="6" t="n">
        <v>81.78</v>
      </c>
      <c r="J470" s="6" t="n">
        <v>70.78</v>
      </c>
    </row>
    <row collapsed="false" customFormat="false" customHeight="false" hidden="false" ht="12.1" outlineLevel="0" r="471">
      <c r="A471" s="39" t="n">
        <v>46546</v>
      </c>
      <c r="B471" s="2" t="s">
        <v>803</v>
      </c>
      <c r="C471" s="2" t="s">
        <v>242</v>
      </c>
      <c r="D471" s="2" t="s">
        <v>243</v>
      </c>
      <c r="E471" s="6" t="n">
        <v>553.32</v>
      </c>
      <c r="F471" s="7" t="n">
        <v>1</v>
      </c>
      <c r="G471" s="6" t="n">
        <v>25.28</v>
      </c>
      <c r="H471" s="6" t="n">
        <v>3</v>
      </c>
      <c r="I471" s="6" t="n">
        <v>25.28</v>
      </c>
      <c r="J471" s="6" t="n">
        <v>22.28</v>
      </c>
    </row>
    <row collapsed="false" customFormat="false" customHeight="false" hidden="false" ht="12.1" outlineLevel="0" r="472">
      <c r="A472" s="39" t="n">
        <v>46548</v>
      </c>
      <c r="B472" s="2" t="s">
        <v>803</v>
      </c>
      <c r="C472" s="2" t="s">
        <v>173</v>
      </c>
      <c r="D472" s="2" t="s">
        <v>174</v>
      </c>
      <c r="E472" s="6" t="n">
        <v>1000</v>
      </c>
      <c r="F472" s="7" t="n">
        <v>20</v>
      </c>
      <c r="G472" s="6" t="n">
        <v>17.83</v>
      </c>
      <c r="H472" s="6" t="n">
        <v>46</v>
      </c>
      <c r="I472" s="6" t="n">
        <v>356.6</v>
      </c>
      <c r="J472" s="6" t="n">
        <v>310.6</v>
      </c>
    </row>
    <row collapsed="false" customFormat="false" customHeight="false" hidden="false" ht="12.1" outlineLevel="0" r="473">
      <c r="A473" s="39" t="n">
        <v>46556</v>
      </c>
      <c r="B473" s="2" t="s">
        <v>803</v>
      </c>
      <c r="C473" s="2" t="s">
        <v>188</v>
      </c>
      <c r="D473" s="2" t="s">
        <v>189</v>
      </c>
      <c r="E473" s="6" t="n">
        <v>1000</v>
      </c>
      <c r="F473" s="7" t="n">
        <v>7</v>
      </c>
      <c r="G473" s="6" t="n">
        <v>11.26</v>
      </c>
      <c r="H473" s="6" t="n">
        <v>10</v>
      </c>
      <c r="I473" s="6" t="n">
        <v>78.82</v>
      </c>
      <c r="J473" s="6" t="n">
        <v>68.82</v>
      </c>
    </row>
    <row collapsed="false" customFormat="false" customHeight="false" hidden="false" ht="12.1" outlineLevel="0" r="474">
      <c r="A474" s="39" t="n">
        <v>46586</v>
      </c>
      <c r="B474" s="2" t="s">
        <v>803</v>
      </c>
      <c r="C474" s="2" t="s">
        <v>188</v>
      </c>
      <c r="D474" s="2" t="s">
        <v>189</v>
      </c>
      <c r="E474" s="6" t="n">
        <v>1000</v>
      </c>
      <c r="F474" s="7" t="n">
        <v>7</v>
      </c>
      <c r="G474" s="6" t="n">
        <v>11.26</v>
      </c>
      <c r="H474" s="6" t="n">
        <v>10</v>
      </c>
      <c r="I474" s="6" t="n">
        <v>78.82</v>
      </c>
      <c r="J474" s="6" t="n">
        <v>68.82</v>
      </c>
    </row>
    <row collapsed="false" customFormat="false" customHeight="false" hidden="false" ht="12.1" outlineLevel="0" r="475">
      <c r="A475" s="39" t="n">
        <v>46589</v>
      </c>
      <c r="B475" s="2" t="s">
        <v>803</v>
      </c>
      <c r="C475" s="2" t="s">
        <v>182</v>
      </c>
      <c r="D475" s="2" t="s">
        <v>183</v>
      </c>
      <c r="E475" s="6" t="n">
        <v>1000</v>
      </c>
      <c r="F475" s="7" t="n">
        <v>12</v>
      </c>
      <c r="G475" s="6" t="n">
        <v>16.83</v>
      </c>
      <c r="H475" s="6" t="n">
        <v>26</v>
      </c>
      <c r="I475" s="6" t="n">
        <v>201.96</v>
      </c>
      <c r="J475" s="6" t="n">
        <v>175.96</v>
      </c>
    </row>
    <row collapsed="false" customFormat="false" customHeight="false" hidden="false" ht="12.1" outlineLevel="0" r="476">
      <c r="A476" s="39" t="n">
        <v>46609</v>
      </c>
      <c r="B476" s="2" t="s">
        <v>803</v>
      </c>
      <c r="C476" s="2" t="s">
        <v>140</v>
      </c>
      <c r="D476" s="2" t="s">
        <v>141</v>
      </c>
      <c r="E476" s="6" t="n">
        <v>1000</v>
      </c>
      <c r="F476" s="7" t="n">
        <v>80</v>
      </c>
      <c r="G476" s="6" t="n">
        <v>34.9</v>
      </c>
      <c r="H476" s="6" t="n">
        <v>363</v>
      </c>
      <c r="I476" s="6" t="n">
        <v>2792</v>
      </c>
      <c r="J476" s="6" t="n">
        <v>2429</v>
      </c>
    </row>
    <row collapsed="false" customFormat="false" customHeight="false" hidden="false" ht="12.1" outlineLevel="0" r="477">
      <c r="A477" s="39" t="n">
        <v>46610</v>
      </c>
      <c r="B477" s="2" t="s">
        <v>803</v>
      </c>
      <c r="C477" s="2" t="s">
        <v>215</v>
      </c>
      <c r="D477" s="2" t="s">
        <v>216</v>
      </c>
      <c r="E477" s="6" t="n">
        <v>800</v>
      </c>
      <c r="F477" s="7" t="n">
        <v>5</v>
      </c>
      <c r="G477" s="6" t="n">
        <v>15.96</v>
      </c>
      <c r="H477" s="6" t="n">
        <v>10</v>
      </c>
      <c r="I477" s="6" t="n">
        <v>79.8</v>
      </c>
      <c r="J477" s="6" t="n">
        <v>69.8</v>
      </c>
    </row>
    <row collapsed="false" customFormat="false" customHeight="false" hidden="false" ht="12.1" outlineLevel="0" r="478">
      <c r="A478" s="39" t="n">
        <v>46616</v>
      </c>
      <c r="B478" s="2" t="s">
        <v>803</v>
      </c>
      <c r="C478" s="2" t="s">
        <v>188</v>
      </c>
      <c r="D478" s="2" t="s">
        <v>189</v>
      </c>
      <c r="E478" s="6" t="n">
        <v>1000</v>
      </c>
      <c r="F478" s="7" t="n">
        <v>7</v>
      </c>
      <c r="G478" s="6" t="n">
        <v>11.26</v>
      </c>
      <c r="H478" s="6" t="n">
        <v>10</v>
      </c>
      <c r="I478" s="6" t="n">
        <v>78.82</v>
      </c>
      <c r="J478" s="6" t="n">
        <v>68.82</v>
      </c>
    </row>
    <row collapsed="false" customFormat="false" customHeight="false" hidden="false" ht="12.1" outlineLevel="0" r="479">
      <c r="A479" s="39" t="n">
        <v>46630</v>
      </c>
      <c r="B479" s="2" t="s">
        <v>803</v>
      </c>
      <c r="C479" s="2" t="s">
        <v>206</v>
      </c>
      <c r="D479" s="2" t="s">
        <v>207</v>
      </c>
      <c r="E479" s="6" t="n">
        <v>1000</v>
      </c>
      <c r="F479" s="7" t="n">
        <v>5</v>
      </c>
      <c r="G479" s="6" t="n">
        <v>46.12</v>
      </c>
      <c r="H479" s="6" t="n">
        <v>30</v>
      </c>
      <c r="I479" s="6" t="n">
        <v>230.6</v>
      </c>
      <c r="J479" s="6" t="n">
        <v>200.6</v>
      </c>
    </row>
    <row collapsed="false" customFormat="false" customHeight="false" hidden="false" ht="12.1" outlineLevel="0" r="480">
      <c r="A480" s="39" t="n">
        <v>46637</v>
      </c>
      <c r="B480" s="2" t="s">
        <v>803</v>
      </c>
      <c r="C480" s="2" t="s">
        <v>242</v>
      </c>
      <c r="D480" s="2" t="s">
        <v>243</v>
      </c>
      <c r="E480" s="6" t="n">
        <v>553.32</v>
      </c>
      <c r="F480" s="7" t="n">
        <v>1</v>
      </c>
      <c r="G480" s="6" t="n">
        <v>24.03</v>
      </c>
      <c r="H480" s="6" t="n">
        <v>3</v>
      </c>
      <c r="I480" s="6" t="n">
        <v>24.03</v>
      </c>
      <c r="J480" s="6" t="n">
        <v>21.03</v>
      </c>
    </row>
    <row collapsed="false" customFormat="false" customHeight="false" hidden="false" ht="12.1" outlineLevel="0" r="481">
      <c r="A481" s="39" t="n">
        <v>46639</v>
      </c>
      <c r="B481" s="2" t="s">
        <v>803</v>
      </c>
      <c r="C481" s="2" t="s">
        <v>173</v>
      </c>
      <c r="D481" s="2" t="s">
        <v>174</v>
      </c>
      <c r="E481" s="6" t="n">
        <v>1000</v>
      </c>
      <c r="F481" s="7" t="n">
        <v>20</v>
      </c>
      <c r="G481" s="6" t="n">
        <v>17.83</v>
      </c>
      <c r="H481" s="6" t="n">
        <v>46</v>
      </c>
      <c r="I481" s="6" t="n">
        <v>356.6</v>
      </c>
      <c r="J481" s="6" t="n">
        <v>310.6</v>
      </c>
    </row>
    <row collapsed="false" customFormat="false" customHeight="false" hidden="false" ht="12.1" outlineLevel="0" r="482">
      <c r="A482" s="39" t="n">
        <v>46644</v>
      </c>
      <c r="B482" s="2" t="s">
        <v>803</v>
      </c>
      <c r="C482" s="2" t="s">
        <v>158</v>
      </c>
      <c r="D482" s="2" t="s">
        <v>159</v>
      </c>
      <c r="E482" s="6" t="n">
        <v>1000</v>
      </c>
      <c r="F482" s="7" t="n">
        <v>34</v>
      </c>
      <c r="G482" s="6" t="n">
        <v>33.41</v>
      </c>
      <c r="H482" s="6" t="n">
        <v>148</v>
      </c>
      <c r="I482" s="6" t="n">
        <v>1135.94</v>
      </c>
      <c r="J482" s="6" t="n">
        <v>987.94</v>
      </c>
    </row>
    <row collapsed="false" customFormat="false" customHeight="false" hidden="false" ht="12.1" outlineLevel="0" r="483">
      <c r="A483" s="39" t="n">
        <v>46651</v>
      </c>
      <c r="B483" s="2" t="s">
        <v>803</v>
      </c>
      <c r="C483" s="2" t="s">
        <v>146</v>
      </c>
      <c r="D483" s="2" t="s">
        <v>147</v>
      </c>
      <c r="E483" s="6" t="n">
        <v>1000</v>
      </c>
      <c r="F483" s="7" t="n">
        <v>40</v>
      </c>
      <c r="G483" s="6" t="n">
        <v>56.1</v>
      </c>
      <c r="H483" s="6" t="n">
        <v>292</v>
      </c>
      <c r="I483" s="6" t="n">
        <v>2244</v>
      </c>
      <c r="J483" s="6" t="n">
        <v>1952</v>
      </c>
    </row>
    <row collapsed="false" customFormat="false" customHeight="false" hidden="false" ht="12.1" outlineLevel="0" r="484">
      <c r="A484" s="39" t="n">
        <v>46651</v>
      </c>
      <c r="B484" s="2" t="s">
        <v>803</v>
      </c>
      <c r="C484" s="2" t="s">
        <v>152</v>
      </c>
      <c r="D484" s="2" t="s">
        <v>153</v>
      </c>
      <c r="E484" s="6" t="n">
        <v>1000</v>
      </c>
      <c r="F484" s="7" t="n">
        <v>34</v>
      </c>
      <c r="G484" s="6" t="n">
        <v>59.84</v>
      </c>
      <c r="H484" s="6" t="n">
        <v>264</v>
      </c>
      <c r="I484" s="6" t="n">
        <v>2034.56</v>
      </c>
      <c r="J484" s="6" t="n">
        <v>1770.56</v>
      </c>
    </row>
    <row collapsed="false" customFormat="false" customHeight="false" hidden="false" ht="12.1" outlineLevel="0" r="485">
      <c r="A485" s="39" t="n">
        <v>46658</v>
      </c>
      <c r="B485" s="2" t="s">
        <v>803</v>
      </c>
      <c r="C485" s="2" t="s">
        <v>149</v>
      </c>
      <c r="D485" s="2" t="s">
        <v>150</v>
      </c>
      <c r="E485" s="6" t="n">
        <v>1000</v>
      </c>
      <c r="F485" s="7" t="n">
        <v>45</v>
      </c>
      <c r="G485" s="6" t="n">
        <v>38.39</v>
      </c>
      <c r="H485" s="6" t="n">
        <v>225</v>
      </c>
      <c r="I485" s="6" t="n">
        <v>1727.55</v>
      </c>
      <c r="J485" s="6" t="n">
        <v>1502.55</v>
      </c>
    </row>
    <row collapsed="false" customFormat="false" customHeight="false" hidden="false" ht="12.1" outlineLevel="0" r="486">
      <c r="A486" s="39" t="n">
        <v>46680</v>
      </c>
      <c r="B486" s="2" t="s">
        <v>803</v>
      </c>
      <c r="C486" s="2" t="s">
        <v>182</v>
      </c>
      <c r="D486" s="2" t="s">
        <v>183</v>
      </c>
      <c r="E486" s="6" t="n">
        <v>1000</v>
      </c>
      <c r="F486" s="7" t="n">
        <v>12</v>
      </c>
      <c r="G486" s="6" t="n">
        <v>16.83</v>
      </c>
      <c r="H486" s="6" t="n">
        <v>26</v>
      </c>
      <c r="I486" s="6" t="n">
        <v>201.96</v>
      </c>
      <c r="J486" s="6" t="n">
        <v>175.96</v>
      </c>
    </row>
    <row collapsed="false" customFormat="false" customHeight="false" hidden="false" ht="12.1" outlineLevel="0" r="487">
      <c r="A487" s="39" t="n">
        <v>46701</v>
      </c>
      <c r="B487" s="2" t="s">
        <v>803</v>
      </c>
      <c r="C487" s="2" t="s">
        <v>215</v>
      </c>
      <c r="D487" s="2" t="s">
        <v>216</v>
      </c>
      <c r="E487" s="6" t="n">
        <v>800</v>
      </c>
      <c r="F487" s="7" t="n">
        <v>5</v>
      </c>
      <c r="G487" s="6" t="n">
        <v>15.96</v>
      </c>
      <c r="H487" s="6" t="n">
        <v>10</v>
      </c>
      <c r="I487" s="6" t="n">
        <v>79.8</v>
      </c>
      <c r="J487" s="6" t="n">
        <v>69.8</v>
      </c>
    </row>
    <row collapsed="false" customFormat="false" customHeight="false" hidden="false" ht="12.1" outlineLevel="0" r="488">
      <c r="A488" s="39" t="n">
        <v>46707</v>
      </c>
      <c r="B488" s="2" t="s">
        <v>803</v>
      </c>
      <c r="C488" s="2" t="s">
        <v>185</v>
      </c>
      <c r="D488" s="2" t="s">
        <v>186</v>
      </c>
      <c r="E488" s="6" t="n">
        <v>1000</v>
      </c>
      <c r="F488" s="7" t="n">
        <v>10</v>
      </c>
      <c r="G488" s="6" t="n">
        <v>28.42</v>
      </c>
      <c r="H488" s="6" t="n">
        <v>37</v>
      </c>
      <c r="I488" s="6" t="n">
        <v>284.2</v>
      </c>
      <c r="J488" s="6" t="n">
        <v>247.2</v>
      </c>
    </row>
    <row collapsed="false" customFormat="false" customHeight="false" hidden="false" ht="12.1" outlineLevel="0" r="489">
      <c r="A489" s="39" t="n">
        <v>46714</v>
      </c>
      <c r="B489" s="2" t="s">
        <v>803</v>
      </c>
      <c r="C489" s="2" t="s">
        <v>161</v>
      </c>
      <c r="D489" s="2" t="s">
        <v>162</v>
      </c>
      <c r="E489" s="6" t="n">
        <v>1000</v>
      </c>
      <c r="F489" s="7" t="n">
        <v>34</v>
      </c>
      <c r="G489" s="6" t="n">
        <v>47.37</v>
      </c>
      <c r="H489" s="6" t="n">
        <v>209</v>
      </c>
      <c r="I489" s="6" t="n">
        <v>1610.58</v>
      </c>
      <c r="J489" s="6" t="n">
        <v>1401.58</v>
      </c>
    </row>
    <row collapsed="false" customFormat="false" customHeight="false" hidden="false" ht="12.1" outlineLevel="0" r="490">
      <c r="A490" s="39" t="n">
        <v>46714</v>
      </c>
      <c r="B490" s="2" t="s">
        <v>803</v>
      </c>
      <c r="C490" s="2" t="s">
        <v>164</v>
      </c>
      <c r="D490" s="2" t="s">
        <v>165</v>
      </c>
      <c r="E490" s="6" t="n">
        <v>1000</v>
      </c>
      <c r="F490" s="7" t="n">
        <v>20</v>
      </c>
      <c r="G490" s="6" t="n">
        <v>61.08</v>
      </c>
      <c r="H490" s="6" t="n">
        <v>159</v>
      </c>
      <c r="I490" s="6" t="n">
        <v>1221.6</v>
      </c>
      <c r="J490" s="6" t="n">
        <v>1062.6</v>
      </c>
    </row>
    <row collapsed="false" customFormat="false" customHeight="false" hidden="false" ht="12.1" outlineLevel="0" r="491">
      <c r="A491" s="39" t="n">
        <v>46720</v>
      </c>
      <c r="B491" s="2" t="s">
        <v>803</v>
      </c>
      <c r="C491" s="2" t="s">
        <v>200</v>
      </c>
      <c r="D491" s="2" t="s">
        <v>201</v>
      </c>
      <c r="E491" s="6" t="n">
        <v>1000</v>
      </c>
      <c r="F491" s="7" t="n">
        <v>5</v>
      </c>
      <c r="G491" s="6" t="n">
        <v>56.1</v>
      </c>
      <c r="H491" s="6" t="n">
        <v>36</v>
      </c>
      <c r="I491" s="6" t="n">
        <v>280.5</v>
      </c>
      <c r="J491" s="6" t="n">
        <v>244.5</v>
      </c>
    </row>
    <row collapsed="false" customFormat="false" customHeight="false" hidden="false" ht="12.1" outlineLevel="0" r="492">
      <c r="A492" s="39" t="n">
        <v>46721</v>
      </c>
      <c r="B492" s="2" t="s">
        <v>803</v>
      </c>
      <c r="C492" s="2" t="s">
        <v>167</v>
      </c>
      <c r="D492" s="2" t="s">
        <v>168</v>
      </c>
      <c r="E492" s="6" t="n">
        <v>1000</v>
      </c>
      <c r="F492" s="7" t="n">
        <v>20</v>
      </c>
      <c r="G492" s="6" t="n">
        <v>61.08</v>
      </c>
      <c r="H492" s="6" t="n">
        <v>159</v>
      </c>
      <c r="I492" s="6" t="n">
        <v>1221.6</v>
      </c>
      <c r="J492" s="6" t="n">
        <v>1062.6</v>
      </c>
    </row>
    <row collapsed="false" customFormat="false" customHeight="false" hidden="false" ht="12.1" outlineLevel="0" r="493">
      <c r="A493" s="39" t="n">
        <v>46721</v>
      </c>
      <c r="B493" s="2" t="s">
        <v>803</v>
      </c>
      <c r="C493" s="2" t="s">
        <v>143</v>
      </c>
      <c r="D493" s="2" t="s">
        <v>144</v>
      </c>
      <c r="E493" s="6" t="n">
        <v>1000</v>
      </c>
      <c r="F493" s="7" t="n">
        <v>53</v>
      </c>
      <c r="G493" s="6" t="n">
        <v>48.87</v>
      </c>
      <c r="H493" s="6" t="n">
        <v>337</v>
      </c>
      <c r="I493" s="6" t="n">
        <v>2590.11</v>
      </c>
      <c r="J493" s="6" t="n">
        <v>2253.11</v>
      </c>
    </row>
    <row collapsed="false" customFormat="false" customHeight="false" hidden="false" ht="12.1" outlineLevel="0" r="494">
      <c r="A494" s="39" t="n">
        <v>46721</v>
      </c>
      <c r="B494" s="2" t="s">
        <v>803</v>
      </c>
      <c r="C494" s="2" t="s">
        <v>136</v>
      </c>
      <c r="D494" s="2" t="s">
        <v>138</v>
      </c>
      <c r="E494" s="6" t="n">
        <v>1000</v>
      </c>
      <c r="F494" s="7" t="n">
        <v>88</v>
      </c>
      <c r="G494" s="6" t="n">
        <v>35.4</v>
      </c>
      <c r="H494" s="6" t="n">
        <v>405</v>
      </c>
      <c r="I494" s="6" t="n">
        <v>3115.2</v>
      </c>
      <c r="J494" s="6" t="n">
        <v>2710.2</v>
      </c>
    </row>
    <row collapsed="false" customFormat="false" customHeight="false" hidden="false" ht="12.1" outlineLevel="0" r="495">
      <c r="A495" s="39" t="n">
        <v>46726</v>
      </c>
      <c r="B495" s="2" t="s">
        <v>803</v>
      </c>
      <c r="C495" s="2" t="s">
        <v>236</v>
      </c>
      <c r="D495" s="2" t="s">
        <v>237</v>
      </c>
      <c r="E495" s="6" t="n">
        <v>1000</v>
      </c>
      <c r="F495" s="7" t="n">
        <v>1</v>
      </c>
      <c r="G495" s="6" t="n">
        <v>81.78</v>
      </c>
      <c r="H495" s="6" t="n">
        <v>11</v>
      </c>
      <c r="I495" s="6" t="n">
        <v>81.78</v>
      </c>
      <c r="J495" s="6" t="n">
        <v>70.78</v>
      </c>
    </row>
    <row collapsed="false" customFormat="false" customHeight="false" hidden="false" ht="12.1" outlineLevel="0" r="496">
      <c r="A496" s="39" t="n">
        <v>46728</v>
      </c>
      <c r="B496" s="2" t="s">
        <v>803</v>
      </c>
      <c r="C496" s="2" t="s">
        <v>242</v>
      </c>
      <c r="D496" s="2" t="s">
        <v>243</v>
      </c>
      <c r="E496" s="6" t="n">
        <v>553.32</v>
      </c>
      <c r="F496" s="7" t="n">
        <v>1</v>
      </c>
      <c r="G496" s="6" t="n">
        <v>22.75</v>
      </c>
      <c r="H496" s="6" t="n">
        <v>3</v>
      </c>
      <c r="I496" s="6" t="n">
        <v>22.75</v>
      </c>
      <c r="J496" s="6" t="n">
        <v>19.75</v>
      </c>
    </row>
    <row collapsed="false" customFormat="false" customHeight="false" hidden="false" ht="12.1" outlineLevel="0" r="497">
      <c r="A497" s="39" t="n">
        <v>46730</v>
      </c>
      <c r="B497" s="2" t="s">
        <v>803</v>
      </c>
      <c r="C497" s="2" t="s">
        <v>173</v>
      </c>
      <c r="D497" s="2" t="s">
        <v>174</v>
      </c>
      <c r="E497" s="6" t="n">
        <v>1000</v>
      </c>
      <c r="F497" s="7" t="n">
        <v>20</v>
      </c>
      <c r="G497" s="6" t="n">
        <v>17.83</v>
      </c>
      <c r="H497" s="6" t="n">
        <v>46</v>
      </c>
      <c r="I497" s="6" t="n">
        <v>356.6</v>
      </c>
      <c r="J497" s="6" t="n">
        <v>310.6</v>
      </c>
    </row>
    <row collapsed="false" customFormat="false" customHeight="false" hidden="false" ht="12.1" outlineLevel="0" r="498">
      <c r="A498" s="39" t="n">
        <v>46771</v>
      </c>
      <c r="B498" s="2" t="s">
        <v>803</v>
      </c>
      <c r="C498" s="2" t="s">
        <v>182</v>
      </c>
      <c r="D498" s="2" t="s">
        <v>183</v>
      </c>
      <c r="E498" s="6" t="n">
        <v>1000</v>
      </c>
      <c r="F498" s="7" t="n">
        <v>12</v>
      </c>
      <c r="G498" s="6" t="n">
        <v>16.83</v>
      </c>
      <c r="H498" s="6" t="n">
        <v>26</v>
      </c>
      <c r="I498" s="6" t="n">
        <v>201.96</v>
      </c>
      <c r="J498" s="6" t="n">
        <v>175.96</v>
      </c>
    </row>
    <row collapsed="false" customFormat="false" customHeight="false" hidden="false" ht="12.1" outlineLevel="0" r="499">
      <c r="A499" s="39" t="n">
        <v>46791</v>
      </c>
      <c r="B499" s="2" t="s">
        <v>803</v>
      </c>
      <c r="C499" s="2" t="s">
        <v>140</v>
      </c>
      <c r="D499" s="2" t="s">
        <v>141</v>
      </c>
      <c r="E499" s="6" t="n">
        <v>1000</v>
      </c>
      <c r="F499" s="7" t="n">
        <v>80</v>
      </c>
      <c r="G499" s="6" t="n">
        <v>34.9</v>
      </c>
      <c r="H499" s="6" t="n">
        <v>363</v>
      </c>
      <c r="I499" s="6" t="n">
        <v>2792</v>
      </c>
      <c r="J499" s="6" t="n">
        <v>2429</v>
      </c>
    </row>
    <row collapsed="false" customFormat="false" customHeight="false" hidden="false" ht="12.1" outlineLevel="0" r="500">
      <c r="A500" s="39" t="n">
        <v>46792</v>
      </c>
      <c r="B500" s="2" t="s">
        <v>803</v>
      </c>
      <c r="C500" s="2" t="s">
        <v>215</v>
      </c>
      <c r="D500" s="2" t="s">
        <v>216</v>
      </c>
      <c r="E500" s="6" t="n">
        <v>800</v>
      </c>
      <c r="F500" s="7" t="n">
        <v>5</v>
      </c>
      <c r="G500" s="6" t="n">
        <v>11.97</v>
      </c>
      <c r="H500" s="6" t="n">
        <v>8</v>
      </c>
      <c r="I500" s="6" t="n">
        <v>59.85</v>
      </c>
      <c r="J500" s="6" t="n">
        <v>51.85</v>
      </c>
    </row>
    <row collapsed="false" customFormat="false" customHeight="false" hidden="false" ht="12.1" outlineLevel="0" r="501">
      <c r="A501" s="39" t="n">
        <v>46819</v>
      </c>
      <c r="B501" s="2" t="s">
        <v>803</v>
      </c>
      <c r="C501" s="2" t="s">
        <v>242</v>
      </c>
      <c r="D501" s="2" t="s">
        <v>243</v>
      </c>
      <c r="E501" s="6" t="n">
        <v>553.32</v>
      </c>
      <c r="F501" s="7" t="n">
        <v>1</v>
      </c>
      <c r="G501" s="6" t="n">
        <v>21.43</v>
      </c>
      <c r="H501" s="6" t="n">
        <v>3</v>
      </c>
      <c r="I501" s="6" t="n">
        <v>21.43</v>
      </c>
      <c r="J501" s="6" t="n">
        <v>18.43</v>
      </c>
    </row>
    <row collapsed="false" customFormat="false" customHeight="false" hidden="false" ht="12.1" outlineLevel="0" r="502">
      <c r="A502" s="39" t="n">
        <v>46821</v>
      </c>
      <c r="B502" s="2" t="s">
        <v>803</v>
      </c>
      <c r="C502" s="2" t="s">
        <v>173</v>
      </c>
      <c r="D502" s="2" t="s">
        <v>174</v>
      </c>
      <c r="E502" s="6" t="n">
        <v>1000</v>
      </c>
      <c r="F502" s="7" t="n">
        <v>20</v>
      </c>
      <c r="G502" s="6" t="n">
        <v>17.83</v>
      </c>
      <c r="H502" s="6" t="n">
        <v>46</v>
      </c>
      <c r="I502" s="6" t="n">
        <v>356.6</v>
      </c>
      <c r="J502" s="6" t="n">
        <v>310.6</v>
      </c>
    </row>
    <row collapsed="false" customFormat="false" customHeight="false" hidden="false" ht="12.1" outlineLevel="0" r="503">
      <c r="A503" s="39" t="n">
        <v>46826</v>
      </c>
      <c r="B503" s="2" t="s">
        <v>803</v>
      </c>
      <c r="C503" s="2" t="s">
        <v>158</v>
      </c>
      <c r="D503" s="2" t="s">
        <v>159</v>
      </c>
      <c r="E503" s="6" t="n">
        <v>1000</v>
      </c>
      <c r="F503" s="7" t="n">
        <v>34</v>
      </c>
      <c r="G503" s="6" t="n">
        <v>33.41</v>
      </c>
      <c r="H503" s="6" t="n">
        <v>148</v>
      </c>
      <c r="I503" s="6" t="n">
        <v>1135.94</v>
      </c>
      <c r="J503" s="6" t="n">
        <v>987.94</v>
      </c>
    </row>
    <row collapsed="false" customFormat="false" customHeight="false" hidden="false" ht="12.1" outlineLevel="0" r="504">
      <c r="A504" s="39" t="n">
        <v>46833</v>
      </c>
      <c r="B504" s="2" t="s">
        <v>803</v>
      </c>
      <c r="C504" s="2" t="s">
        <v>152</v>
      </c>
      <c r="D504" s="2" t="s">
        <v>153</v>
      </c>
      <c r="E504" s="6" t="n">
        <v>1000</v>
      </c>
      <c r="F504" s="7" t="n">
        <v>34</v>
      </c>
      <c r="G504" s="6" t="n">
        <v>59.84</v>
      </c>
      <c r="H504" s="6" t="n">
        <v>264</v>
      </c>
      <c r="I504" s="6" t="n">
        <v>2034.56</v>
      </c>
      <c r="J504" s="6" t="n">
        <v>1770.56</v>
      </c>
    </row>
    <row collapsed="false" customFormat="false" customHeight="false" hidden="false" ht="12.1" outlineLevel="0" r="505">
      <c r="A505" s="39" t="n">
        <v>46833</v>
      </c>
      <c r="B505" s="2" t="s">
        <v>803</v>
      </c>
      <c r="C505" s="2" t="s">
        <v>146</v>
      </c>
      <c r="D505" s="2" t="s">
        <v>147</v>
      </c>
      <c r="E505" s="6" t="n">
        <v>1000</v>
      </c>
      <c r="F505" s="7" t="n">
        <v>40</v>
      </c>
      <c r="G505" s="6" t="n">
        <v>56.1</v>
      </c>
      <c r="H505" s="6" t="n">
        <v>292</v>
      </c>
      <c r="I505" s="6" t="n">
        <v>2244</v>
      </c>
      <c r="J505" s="6" t="n">
        <v>1952</v>
      </c>
    </row>
    <row collapsed="false" customFormat="false" customHeight="false" hidden="false" ht="12.1" outlineLevel="0" r="506">
      <c r="A506" s="39" t="n">
        <v>46840</v>
      </c>
      <c r="B506" s="2" t="s">
        <v>803</v>
      </c>
      <c r="C506" s="2" t="s">
        <v>149</v>
      </c>
      <c r="D506" s="2" t="s">
        <v>150</v>
      </c>
      <c r="E506" s="6" t="n">
        <v>1000</v>
      </c>
      <c r="F506" s="7" t="n">
        <v>45</v>
      </c>
      <c r="G506" s="6" t="n">
        <v>38.39</v>
      </c>
      <c r="H506" s="6" t="n">
        <v>225</v>
      </c>
      <c r="I506" s="6" t="n">
        <v>1727.55</v>
      </c>
      <c r="J506" s="6" t="n">
        <v>1502.55</v>
      </c>
    </row>
    <row collapsed="false" customFormat="false" customHeight="false" hidden="false" ht="12.1" outlineLevel="0" r="507">
      <c r="A507" s="39" t="n">
        <v>46862</v>
      </c>
      <c r="B507" s="2" t="s">
        <v>803</v>
      </c>
      <c r="C507" s="2" t="s">
        <v>182</v>
      </c>
      <c r="D507" s="2" t="s">
        <v>183</v>
      </c>
      <c r="E507" s="6" t="n">
        <v>1000</v>
      </c>
      <c r="F507" s="7" t="n">
        <v>12</v>
      </c>
      <c r="G507" s="6" t="n">
        <v>16.83</v>
      </c>
      <c r="H507" s="6" t="n">
        <v>26</v>
      </c>
      <c r="I507" s="6" t="n">
        <v>201.96</v>
      </c>
      <c r="J507" s="6" t="n">
        <v>175.96</v>
      </c>
    </row>
    <row collapsed="false" customFormat="false" customHeight="false" hidden="false" ht="12.1" outlineLevel="0" r="508">
      <c r="A508" s="39" t="n">
        <v>46883</v>
      </c>
      <c r="B508" s="2" t="s">
        <v>803</v>
      </c>
      <c r="C508" s="2" t="s">
        <v>215</v>
      </c>
      <c r="D508" s="2" t="s">
        <v>216</v>
      </c>
      <c r="E508" s="6" t="n">
        <v>800</v>
      </c>
      <c r="F508" s="7" t="n">
        <v>5</v>
      </c>
      <c r="G508" s="6" t="n">
        <v>7.98</v>
      </c>
      <c r="H508" s="6" t="n">
        <v>5</v>
      </c>
      <c r="I508" s="6" t="n">
        <v>39.9</v>
      </c>
      <c r="J508" s="6" t="n">
        <v>34.9</v>
      </c>
    </row>
    <row collapsed="false" customFormat="false" customHeight="false" hidden="false" ht="12.1" outlineLevel="0" r="509">
      <c r="A509" s="39" t="n">
        <v>46889</v>
      </c>
      <c r="B509" s="2" t="s">
        <v>803</v>
      </c>
      <c r="C509" s="2" t="s">
        <v>185</v>
      </c>
      <c r="D509" s="2" t="s">
        <v>186</v>
      </c>
      <c r="E509" s="6" t="n">
        <v>1000</v>
      </c>
      <c r="F509" s="7" t="n">
        <v>10</v>
      </c>
      <c r="G509" s="6" t="n">
        <v>28.42</v>
      </c>
      <c r="H509" s="6" t="n">
        <v>37</v>
      </c>
      <c r="I509" s="6" t="n">
        <v>284.2</v>
      </c>
      <c r="J509" s="6" t="n">
        <v>247.2</v>
      </c>
    </row>
    <row collapsed="false" customFormat="false" customHeight="false" hidden="false" ht="12.1" outlineLevel="0" r="510">
      <c r="A510" s="39" t="n">
        <v>46896</v>
      </c>
      <c r="B510" s="2" t="s">
        <v>803</v>
      </c>
      <c r="C510" s="2" t="s">
        <v>164</v>
      </c>
      <c r="D510" s="2" t="s">
        <v>165</v>
      </c>
      <c r="E510" s="6" t="n">
        <v>1000</v>
      </c>
      <c r="F510" s="7" t="n">
        <v>20</v>
      </c>
      <c r="G510" s="6" t="n">
        <v>61.08</v>
      </c>
      <c r="H510" s="6" t="n">
        <v>159</v>
      </c>
      <c r="I510" s="6" t="n">
        <v>1221.6</v>
      </c>
      <c r="J510" s="6" t="n">
        <v>1062.6</v>
      </c>
    </row>
    <row collapsed="false" customFormat="false" customHeight="false" hidden="false" ht="12.1" outlineLevel="0" r="511">
      <c r="A511" s="39" t="n">
        <v>46896</v>
      </c>
      <c r="B511" s="2" t="s">
        <v>803</v>
      </c>
      <c r="C511" s="2" t="s">
        <v>161</v>
      </c>
      <c r="D511" s="2" t="s">
        <v>162</v>
      </c>
      <c r="E511" s="6" t="n">
        <v>1000</v>
      </c>
      <c r="F511" s="7" t="n">
        <v>34</v>
      </c>
      <c r="G511" s="6" t="n">
        <v>47.37</v>
      </c>
      <c r="H511" s="6" t="n">
        <v>209</v>
      </c>
      <c r="I511" s="6" t="n">
        <v>1610.58</v>
      </c>
      <c r="J511" s="6" t="n">
        <v>1401.58</v>
      </c>
    </row>
    <row collapsed="false" customFormat="false" customHeight="false" hidden="false" ht="12.1" outlineLevel="0" r="512">
      <c r="A512" s="39" t="n">
        <v>46903</v>
      </c>
      <c r="B512" s="2" t="s">
        <v>803</v>
      </c>
      <c r="C512" s="2" t="s">
        <v>167</v>
      </c>
      <c r="D512" s="2" t="s">
        <v>168</v>
      </c>
      <c r="E512" s="6" t="n">
        <v>1000</v>
      </c>
      <c r="F512" s="7" t="n">
        <v>20</v>
      </c>
      <c r="G512" s="6" t="n">
        <v>61.08</v>
      </c>
      <c r="H512" s="6" t="n">
        <v>159</v>
      </c>
      <c r="I512" s="6" t="n">
        <v>1221.6</v>
      </c>
      <c r="J512" s="6" t="n">
        <v>1062.6</v>
      </c>
    </row>
    <row collapsed="false" customFormat="false" customHeight="false" hidden="false" ht="12.1" outlineLevel="0" r="513">
      <c r="A513" s="39" t="n">
        <v>46903</v>
      </c>
      <c r="B513" s="2" t="s">
        <v>803</v>
      </c>
      <c r="C513" s="2" t="s">
        <v>136</v>
      </c>
      <c r="D513" s="2" t="s">
        <v>138</v>
      </c>
      <c r="E513" s="6" t="n">
        <v>1000</v>
      </c>
      <c r="F513" s="7" t="n">
        <v>88</v>
      </c>
      <c r="G513" s="6" t="n">
        <v>35.4</v>
      </c>
      <c r="H513" s="6" t="n">
        <v>405</v>
      </c>
      <c r="I513" s="6" t="n">
        <v>3115.2</v>
      </c>
      <c r="J513" s="6" t="n">
        <v>2710.2</v>
      </c>
    </row>
    <row collapsed="false" customFormat="false" customHeight="false" hidden="false" ht="12.1" outlineLevel="0" r="514">
      <c r="A514" s="39" t="n">
        <v>46903</v>
      </c>
      <c r="B514" s="2" t="s">
        <v>803</v>
      </c>
      <c r="C514" s="2" t="s">
        <v>143</v>
      </c>
      <c r="D514" s="2" t="s">
        <v>144</v>
      </c>
      <c r="E514" s="6" t="n">
        <v>1000</v>
      </c>
      <c r="F514" s="7" t="n">
        <v>53</v>
      </c>
      <c r="G514" s="6" t="n">
        <v>48.87</v>
      </c>
      <c r="H514" s="6" t="n">
        <v>337</v>
      </c>
      <c r="I514" s="6" t="n">
        <v>2590.11</v>
      </c>
      <c r="J514" s="6" t="n">
        <v>2253.11</v>
      </c>
    </row>
    <row collapsed="false" customFormat="false" customHeight="false" hidden="false" ht="12.1" outlineLevel="0" r="515">
      <c r="A515" s="39" t="n">
        <v>46910</v>
      </c>
      <c r="B515" s="2" t="s">
        <v>803</v>
      </c>
      <c r="C515" s="2" t="s">
        <v>242</v>
      </c>
      <c r="D515" s="2" t="s">
        <v>243</v>
      </c>
      <c r="E515" s="6" t="n">
        <v>553.32</v>
      </c>
      <c r="F515" s="7" t="n">
        <v>1</v>
      </c>
      <c r="G515" s="6" t="n">
        <v>20.06</v>
      </c>
      <c r="H515" s="6" t="n">
        <v>3</v>
      </c>
      <c r="I515" s="6" t="n">
        <v>20.06</v>
      </c>
      <c r="J515" s="6" t="n">
        <v>17.06</v>
      </c>
    </row>
    <row collapsed="false" customFormat="false" customHeight="false" hidden="false" ht="12.1" outlineLevel="0" r="516">
      <c r="A516" s="39" t="n">
        <v>46912</v>
      </c>
      <c r="B516" s="2" t="s">
        <v>803</v>
      </c>
      <c r="C516" s="2" t="s">
        <v>173</v>
      </c>
      <c r="D516" s="2" t="s">
        <v>174</v>
      </c>
      <c r="E516" s="6" t="n">
        <v>1000</v>
      </c>
      <c r="F516" s="7" t="n">
        <v>20</v>
      </c>
      <c r="G516" s="6" t="n">
        <v>17.83</v>
      </c>
      <c r="H516" s="6" t="n">
        <v>46</v>
      </c>
      <c r="I516" s="6" t="n">
        <v>356.6</v>
      </c>
      <c r="J516" s="6" t="n">
        <v>310.6</v>
      </c>
    </row>
    <row collapsed="false" customFormat="false" customHeight="false" hidden="false" ht="12.1" outlineLevel="0" r="517">
      <c r="A517" s="39" t="n">
        <v>46953</v>
      </c>
      <c r="B517" s="2" t="s">
        <v>803</v>
      </c>
      <c r="C517" s="2" t="s">
        <v>182</v>
      </c>
      <c r="D517" s="2" t="s">
        <v>183</v>
      </c>
      <c r="E517" s="6" t="n">
        <v>1000</v>
      </c>
      <c r="F517" s="7" t="n">
        <v>12</v>
      </c>
      <c r="G517" s="6" t="n">
        <v>16.83</v>
      </c>
      <c r="H517" s="6" t="n">
        <v>26</v>
      </c>
      <c r="I517" s="6" t="n">
        <v>201.96</v>
      </c>
      <c r="J517" s="6" t="n">
        <v>175.96</v>
      </c>
    </row>
    <row collapsed="false" customFormat="false" customHeight="false" hidden="false" ht="12.1" outlineLevel="0" r="518">
      <c r="A518" s="39" t="n">
        <v>46973</v>
      </c>
      <c r="B518" s="2" t="s">
        <v>803</v>
      </c>
      <c r="C518" s="2" t="s">
        <v>140</v>
      </c>
      <c r="D518" s="2" t="s">
        <v>141</v>
      </c>
      <c r="E518" s="6" t="n">
        <v>1000</v>
      </c>
      <c r="F518" s="7" t="n">
        <v>80</v>
      </c>
      <c r="G518" s="6" t="n">
        <v>34.9</v>
      </c>
      <c r="H518" s="6" t="n">
        <v>363</v>
      </c>
      <c r="I518" s="6" t="n">
        <v>2792</v>
      </c>
      <c r="J518" s="6" t="n">
        <v>2429</v>
      </c>
    </row>
    <row collapsed="false" customFormat="false" customHeight="false" hidden="false" ht="12.1" outlineLevel="0" r="519">
      <c r="A519" s="39" t="n">
        <v>46974</v>
      </c>
      <c r="B519" s="2" t="s">
        <v>803</v>
      </c>
      <c r="C519" s="2" t="s">
        <v>215</v>
      </c>
      <c r="D519" s="2" t="s">
        <v>216</v>
      </c>
      <c r="E519" s="6" t="n">
        <v>800</v>
      </c>
      <c r="F519" s="7" t="n">
        <v>5</v>
      </c>
      <c r="G519" s="6" t="n">
        <v>7.98</v>
      </c>
      <c r="H519" s="6" t="n">
        <v>5</v>
      </c>
      <c r="I519" s="6" t="n">
        <v>39.9</v>
      </c>
      <c r="J519" s="6" t="n">
        <v>34.9</v>
      </c>
    </row>
    <row collapsed="false" customFormat="false" customHeight="false" hidden="false" ht="12.1" outlineLevel="0" r="520">
      <c r="A520" s="39" t="n">
        <v>47001</v>
      </c>
      <c r="B520" s="2" t="s">
        <v>803</v>
      </c>
      <c r="C520" s="2" t="s">
        <v>242</v>
      </c>
      <c r="D520" s="2" t="s">
        <v>243</v>
      </c>
      <c r="E520" s="6" t="n">
        <v>553.32</v>
      </c>
      <c r="F520" s="7" t="n">
        <v>1</v>
      </c>
      <c r="G520" s="6" t="n">
        <v>18.66</v>
      </c>
      <c r="H520" s="6" t="n">
        <v>2</v>
      </c>
      <c r="I520" s="6" t="n">
        <v>18.66</v>
      </c>
      <c r="J520" s="6" t="n">
        <v>16.66</v>
      </c>
    </row>
    <row collapsed="false" customFormat="false" customHeight="false" hidden="false" ht="12.1" outlineLevel="0" r="521">
      <c r="A521" s="39" t="n">
        <v>47003</v>
      </c>
      <c r="B521" s="2" t="s">
        <v>803</v>
      </c>
      <c r="C521" s="2" t="s">
        <v>173</v>
      </c>
      <c r="D521" s="2" t="s">
        <v>174</v>
      </c>
      <c r="E521" s="6" t="n">
        <v>1000</v>
      </c>
      <c r="F521" s="7" t="n">
        <v>20</v>
      </c>
      <c r="G521" s="6" t="n">
        <v>17.83</v>
      </c>
      <c r="H521" s="6" t="n">
        <v>46</v>
      </c>
      <c r="I521" s="6" t="n">
        <v>356.6</v>
      </c>
      <c r="J521" s="6" t="n">
        <v>310.6</v>
      </c>
    </row>
    <row collapsed="false" customFormat="false" customHeight="false" hidden="false" ht="12.1" outlineLevel="0" r="522">
      <c r="A522" s="39" t="n">
        <v>47008</v>
      </c>
      <c r="B522" s="2" t="s">
        <v>803</v>
      </c>
      <c r="C522" s="2" t="s">
        <v>158</v>
      </c>
      <c r="D522" s="2" t="s">
        <v>159</v>
      </c>
      <c r="E522" s="6" t="n">
        <v>1000</v>
      </c>
      <c r="F522" s="7" t="n">
        <v>34</v>
      </c>
      <c r="G522" s="6" t="n">
        <v>33.41</v>
      </c>
      <c r="H522" s="6" t="n">
        <v>148</v>
      </c>
      <c r="I522" s="6" t="n">
        <v>1135.94</v>
      </c>
      <c r="J522" s="6" t="n">
        <v>987.94</v>
      </c>
    </row>
    <row collapsed="false" customFormat="false" customHeight="false" hidden="false" ht="12.1" outlineLevel="0" r="523">
      <c r="A523" s="39" t="n">
        <v>47015</v>
      </c>
      <c r="B523" s="2" t="s">
        <v>803</v>
      </c>
      <c r="C523" s="2" t="s">
        <v>146</v>
      </c>
      <c r="D523" s="2" t="s">
        <v>147</v>
      </c>
      <c r="E523" s="6" t="n">
        <v>1000</v>
      </c>
      <c r="F523" s="7" t="n">
        <v>40</v>
      </c>
      <c r="G523" s="6" t="n">
        <v>56.1</v>
      </c>
      <c r="H523" s="6" t="n">
        <v>292</v>
      </c>
      <c r="I523" s="6" t="n">
        <v>2244</v>
      </c>
      <c r="J523" s="6" t="n">
        <v>1952</v>
      </c>
    </row>
    <row collapsed="false" customFormat="false" customHeight="false" hidden="false" ht="12.1" outlineLevel="0" r="524">
      <c r="A524" s="39" t="n">
        <v>47015</v>
      </c>
      <c r="B524" s="2" t="s">
        <v>803</v>
      </c>
      <c r="C524" s="2" t="s">
        <v>152</v>
      </c>
      <c r="D524" s="2" t="s">
        <v>153</v>
      </c>
      <c r="E524" s="6" t="n">
        <v>1000</v>
      </c>
      <c r="F524" s="7" t="n">
        <v>34</v>
      </c>
      <c r="G524" s="6" t="n">
        <v>59.84</v>
      </c>
      <c r="H524" s="6" t="n">
        <v>264</v>
      </c>
      <c r="I524" s="6" t="n">
        <v>2034.56</v>
      </c>
      <c r="J524" s="6" t="n">
        <v>1770.56</v>
      </c>
    </row>
    <row collapsed="false" customFormat="false" customHeight="false" hidden="false" ht="12.1" outlineLevel="0" r="525">
      <c r="A525" s="39" t="n">
        <v>47022</v>
      </c>
      <c r="B525" s="2" t="s">
        <v>803</v>
      </c>
      <c r="C525" s="2" t="s">
        <v>149</v>
      </c>
      <c r="D525" s="2" t="s">
        <v>150</v>
      </c>
      <c r="E525" s="6" t="n">
        <v>1000</v>
      </c>
      <c r="F525" s="7" t="n">
        <v>45</v>
      </c>
      <c r="G525" s="6" t="n">
        <v>38.39</v>
      </c>
      <c r="H525" s="6" t="n">
        <v>225</v>
      </c>
      <c r="I525" s="6" t="n">
        <v>1727.55</v>
      </c>
      <c r="J525" s="6" t="n">
        <v>1502.55</v>
      </c>
    </row>
    <row collapsed="false" customFormat="false" customHeight="false" hidden="false" ht="12.1" outlineLevel="0" r="526">
      <c r="A526" s="39" t="n">
        <v>47044</v>
      </c>
      <c r="B526" s="2" t="s">
        <v>803</v>
      </c>
      <c r="C526" s="2" t="s">
        <v>182</v>
      </c>
      <c r="D526" s="2" t="s">
        <v>183</v>
      </c>
      <c r="E526" s="6" t="n">
        <v>1000</v>
      </c>
      <c r="F526" s="7" t="n">
        <v>12</v>
      </c>
      <c r="G526" s="6" t="n">
        <v>16.83</v>
      </c>
      <c r="H526" s="6" t="n">
        <v>26</v>
      </c>
      <c r="I526" s="6" t="n">
        <v>201.96</v>
      </c>
      <c r="J526" s="6" t="n">
        <v>175.96</v>
      </c>
    </row>
    <row collapsed="false" customFormat="false" customHeight="false" hidden="false" ht="12.1" outlineLevel="0" r="527">
      <c r="A527" s="39" t="n">
        <v>47078</v>
      </c>
      <c r="B527" s="2" t="s">
        <v>803</v>
      </c>
      <c r="C527" s="2" t="s">
        <v>161</v>
      </c>
      <c r="D527" s="2" t="s">
        <v>162</v>
      </c>
      <c r="E527" s="6" t="n">
        <v>1000</v>
      </c>
      <c r="F527" s="7" t="n">
        <v>34</v>
      </c>
      <c r="G527" s="6" t="n">
        <v>47.37</v>
      </c>
      <c r="H527" s="6" t="n">
        <v>209</v>
      </c>
      <c r="I527" s="6" t="n">
        <v>1610.58</v>
      </c>
      <c r="J527" s="6" t="n">
        <v>1401.58</v>
      </c>
    </row>
    <row collapsed="false" customFormat="false" customHeight="false" hidden="false" ht="12.1" outlineLevel="0" r="528">
      <c r="A528" s="39" t="n">
        <v>47078</v>
      </c>
      <c r="B528" s="2" t="s">
        <v>803</v>
      </c>
      <c r="C528" s="2" t="s">
        <v>164</v>
      </c>
      <c r="D528" s="2" t="s">
        <v>165</v>
      </c>
      <c r="E528" s="6" t="n">
        <v>1000</v>
      </c>
      <c r="F528" s="7" t="n">
        <v>20</v>
      </c>
      <c r="G528" s="6" t="n">
        <v>61.08</v>
      </c>
      <c r="H528" s="6" t="n">
        <v>159</v>
      </c>
      <c r="I528" s="6" t="n">
        <v>1221.6</v>
      </c>
      <c r="J528" s="6" t="n">
        <v>1062.6</v>
      </c>
    </row>
    <row collapsed="false" customFormat="false" customHeight="false" hidden="false" ht="12.1" outlineLevel="0" r="529">
      <c r="A529" s="39" t="n">
        <v>47085</v>
      </c>
      <c r="B529" s="2" t="s">
        <v>803</v>
      </c>
      <c r="C529" s="2" t="s">
        <v>136</v>
      </c>
      <c r="D529" s="2" t="s">
        <v>138</v>
      </c>
      <c r="E529" s="6" t="n">
        <v>1000</v>
      </c>
      <c r="F529" s="7" t="n">
        <v>88</v>
      </c>
      <c r="G529" s="6" t="n">
        <v>35.4</v>
      </c>
      <c r="H529" s="6" t="n">
        <v>405</v>
      </c>
      <c r="I529" s="6" t="n">
        <v>3115.2</v>
      </c>
      <c r="J529" s="6" t="n">
        <v>2710.2</v>
      </c>
    </row>
    <row collapsed="false" customFormat="false" customHeight="false" hidden="false" ht="12.1" outlineLevel="0" r="530">
      <c r="A530" s="39" t="n">
        <v>47085</v>
      </c>
      <c r="B530" s="2" t="s">
        <v>803</v>
      </c>
      <c r="C530" s="2" t="s">
        <v>167</v>
      </c>
      <c r="D530" s="2" t="s">
        <v>168</v>
      </c>
      <c r="E530" s="6" t="n">
        <v>1000</v>
      </c>
      <c r="F530" s="7" t="n">
        <v>20</v>
      </c>
      <c r="G530" s="6" t="n">
        <v>61.08</v>
      </c>
      <c r="H530" s="6" t="n">
        <v>159</v>
      </c>
      <c r="I530" s="6" t="n">
        <v>1221.6</v>
      </c>
      <c r="J530" s="6" t="n">
        <v>1062.6</v>
      </c>
    </row>
    <row collapsed="false" customFormat="false" customHeight="false" hidden="false" ht="12.1" outlineLevel="0" r="531">
      <c r="A531" s="39" t="n">
        <v>47085</v>
      </c>
      <c r="B531" s="2" t="s">
        <v>803</v>
      </c>
      <c r="C531" s="2" t="s">
        <v>143</v>
      </c>
      <c r="D531" s="2" t="s">
        <v>144</v>
      </c>
      <c r="E531" s="6" t="n">
        <v>1000</v>
      </c>
      <c r="F531" s="7" t="n">
        <v>53</v>
      </c>
      <c r="G531" s="6" t="n">
        <v>48.87</v>
      </c>
      <c r="H531" s="6" t="n">
        <v>337</v>
      </c>
      <c r="I531" s="6" t="n">
        <v>2590.11</v>
      </c>
      <c r="J531" s="6" t="n">
        <v>2253.11</v>
      </c>
    </row>
    <row collapsed="false" customFormat="false" customHeight="false" hidden="false" ht="12.1" outlineLevel="0" r="532">
      <c r="A532" s="39" t="n">
        <v>47092</v>
      </c>
      <c r="B532" s="2" t="s">
        <v>803</v>
      </c>
      <c r="C532" s="2" t="s">
        <v>242</v>
      </c>
      <c r="D532" s="2" t="s">
        <v>243</v>
      </c>
      <c r="E532" s="6" t="n">
        <v>553.32</v>
      </c>
      <c r="F532" s="7" t="n">
        <v>1</v>
      </c>
      <c r="G532" s="6" t="n">
        <v>17.22</v>
      </c>
      <c r="H532" s="6" t="n">
        <v>2</v>
      </c>
      <c r="I532" s="6" t="n">
        <v>17.22</v>
      </c>
      <c r="J532" s="6" t="n">
        <v>15.22</v>
      </c>
    </row>
    <row collapsed="false" customFormat="false" customHeight="false" hidden="false" ht="12.1" outlineLevel="0" r="533">
      <c r="A533" s="39" t="n">
        <v>47094</v>
      </c>
      <c r="B533" s="2" t="s">
        <v>803</v>
      </c>
      <c r="C533" s="2" t="s">
        <v>173</v>
      </c>
      <c r="D533" s="2" t="s">
        <v>174</v>
      </c>
      <c r="E533" s="6" t="n">
        <v>1000</v>
      </c>
      <c r="F533" s="7" t="n">
        <v>20</v>
      </c>
      <c r="G533" s="6" t="n">
        <v>17.83</v>
      </c>
      <c r="H533" s="6" t="n">
        <v>46</v>
      </c>
      <c r="I533" s="6" t="n">
        <v>356.6</v>
      </c>
      <c r="J533" s="6" t="n">
        <v>310.6</v>
      </c>
    </row>
    <row collapsed="false" customFormat="false" customHeight="false" hidden="false" ht="12.1" outlineLevel="0" r="534">
      <c r="A534" s="39" t="n">
        <v>47135</v>
      </c>
      <c r="B534" s="2" t="s">
        <v>803</v>
      </c>
      <c r="C534" s="2" t="s">
        <v>182</v>
      </c>
      <c r="D534" s="2" t="s">
        <v>183</v>
      </c>
      <c r="E534" s="6" t="n">
        <v>1000</v>
      </c>
      <c r="F534" s="7" t="n">
        <v>12</v>
      </c>
      <c r="G534" s="6" t="n">
        <v>16.83</v>
      </c>
      <c r="H534" s="6" t="n">
        <v>26</v>
      </c>
      <c r="I534" s="6" t="n">
        <v>201.96</v>
      </c>
      <c r="J534" s="6" t="n">
        <v>175.96</v>
      </c>
    </row>
    <row collapsed="false" customFormat="false" customHeight="false" hidden="false" ht="12.1" outlineLevel="0" r="535">
      <c r="A535" s="39" t="n">
        <v>47155</v>
      </c>
      <c r="B535" s="2" t="s">
        <v>803</v>
      </c>
      <c r="C535" s="2" t="s">
        <v>140</v>
      </c>
      <c r="D535" s="2" t="s">
        <v>141</v>
      </c>
      <c r="E535" s="6" t="n">
        <v>1000</v>
      </c>
      <c r="F535" s="7" t="n">
        <v>80</v>
      </c>
      <c r="G535" s="6" t="n">
        <v>34.9</v>
      </c>
      <c r="H535" s="6" t="n">
        <v>363</v>
      </c>
      <c r="I535" s="6" t="n">
        <v>2792</v>
      </c>
      <c r="J535" s="6" t="n">
        <v>2429</v>
      </c>
    </row>
    <row collapsed="false" customFormat="false" customHeight="false" hidden="false" ht="12.1" outlineLevel="0" r="536">
      <c r="A536" s="39" t="n">
        <v>47183</v>
      </c>
      <c r="B536" s="2" t="s">
        <v>803</v>
      </c>
      <c r="C536" s="2" t="s">
        <v>242</v>
      </c>
      <c r="D536" s="2" t="s">
        <v>243</v>
      </c>
      <c r="E536" s="6" t="n">
        <v>553.32</v>
      </c>
      <c r="F536" s="7" t="n">
        <v>1</v>
      </c>
      <c r="G536" s="6" t="n">
        <v>15.72</v>
      </c>
      <c r="H536" s="6" t="n">
        <v>2</v>
      </c>
      <c r="I536" s="6" t="n">
        <v>15.72</v>
      </c>
      <c r="J536" s="6" t="n">
        <v>13.72</v>
      </c>
    </row>
    <row collapsed="false" customFormat="false" customHeight="false" hidden="false" ht="12.1" outlineLevel="0" r="537">
      <c r="A537" s="39" t="n">
        <v>47185</v>
      </c>
      <c r="B537" s="2" t="s">
        <v>803</v>
      </c>
      <c r="C537" s="2" t="s">
        <v>173</v>
      </c>
      <c r="D537" s="2" t="s">
        <v>174</v>
      </c>
      <c r="E537" s="6" t="n">
        <v>1000</v>
      </c>
      <c r="F537" s="7" t="n">
        <v>20</v>
      </c>
      <c r="G537" s="6" t="n">
        <v>17.83</v>
      </c>
      <c r="H537" s="6" t="n">
        <v>46</v>
      </c>
      <c r="I537" s="6" t="n">
        <v>356.6</v>
      </c>
      <c r="J537" s="6" t="n">
        <v>310.6</v>
      </c>
    </row>
    <row collapsed="false" customFormat="false" customHeight="false" hidden="false" ht="12.1" outlineLevel="0" r="538">
      <c r="A538" s="39" t="n">
        <v>47190</v>
      </c>
      <c r="B538" s="2" t="s">
        <v>803</v>
      </c>
      <c r="C538" s="2" t="s">
        <v>158</v>
      </c>
      <c r="D538" s="2" t="s">
        <v>159</v>
      </c>
      <c r="E538" s="6" t="n">
        <v>1000</v>
      </c>
      <c r="F538" s="7" t="n">
        <v>34</v>
      </c>
      <c r="G538" s="6" t="n">
        <v>33.41</v>
      </c>
      <c r="H538" s="6" t="n">
        <v>148</v>
      </c>
      <c r="I538" s="6" t="n">
        <v>1135.94</v>
      </c>
      <c r="J538" s="6" t="n">
        <v>987.94</v>
      </c>
    </row>
    <row collapsed="false" customFormat="false" customHeight="false" hidden="false" ht="12.1" outlineLevel="0" r="539">
      <c r="A539" s="39" t="n">
        <v>47197</v>
      </c>
      <c r="B539" s="2" t="s">
        <v>803</v>
      </c>
      <c r="C539" s="2" t="s">
        <v>152</v>
      </c>
      <c r="D539" s="2" t="s">
        <v>153</v>
      </c>
      <c r="E539" s="6" t="n">
        <v>1000</v>
      </c>
      <c r="F539" s="7" t="n">
        <v>34</v>
      </c>
      <c r="G539" s="6" t="n">
        <v>59.84</v>
      </c>
      <c r="H539" s="6" t="n">
        <v>264</v>
      </c>
      <c r="I539" s="6" t="n">
        <v>2034.56</v>
      </c>
      <c r="J539" s="6" t="n">
        <v>1770.56</v>
      </c>
    </row>
    <row collapsed="false" customFormat="false" customHeight="false" hidden="false" ht="12.1" outlineLevel="0" r="540">
      <c r="A540" s="39" t="n">
        <v>47197</v>
      </c>
      <c r="B540" s="2" t="s">
        <v>803</v>
      </c>
      <c r="C540" s="2" t="s">
        <v>146</v>
      </c>
      <c r="D540" s="2" t="s">
        <v>147</v>
      </c>
      <c r="E540" s="6" t="n">
        <v>1000</v>
      </c>
      <c r="F540" s="7" t="n">
        <v>40</v>
      </c>
      <c r="G540" s="6" t="n">
        <v>56.1</v>
      </c>
      <c r="H540" s="6" t="n">
        <v>292</v>
      </c>
      <c r="I540" s="6" t="n">
        <v>2244</v>
      </c>
      <c r="J540" s="6" t="n">
        <v>1952</v>
      </c>
    </row>
    <row collapsed="false" customFormat="false" customHeight="false" hidden="false" ht="12.1" outlineLevel="0" r="541">
      <c r="A541" s="39" t="n">
        <v>47204</v>
      </c>
      <c r="B541" s="2" t="s">
        <v>803</v>
      </c>
      <c r="C541" s="2" t="s">
        <v>149</v>
      </c>
      <c r="D541" s="2" t="s">
        <v>150</v>
      </c>
      <c r="E541" s="6" t="n">
        <v>1000</v>
      </c>
      <c r="F541" s="7" t="n">
        <v>45</v>
      </c>
      <c r="G541" s="6" t="n">
        <v>38.39</v>
      </c>
      <c r="H541" s="6" t="n">
        <v>225</v>
      </c>
      <c r="I541" s="6" t="n">
        <v>1727.55</v>
      </c>
      <c r="J541" s="6" t="n">
        <v>1502.55</v>
      </c>
    </row>
    <row collapsed="false" customFormat="false" customHeight="false" hidden="false" ht="12.1" outlineLevel="0" r="542">
      <c r="A542" s="39" t="n">
        <v>47226</v>
      </c>
      <c r="B542" s="2" t="s">
        <v>803</v>
      </c>
      <c r="C542" s="2" t="s">
        <v>182</v>
      </c>
      <c r="D542" s="2" t="s">
        <v>183</v>
      </c>
      <c r="E542" s="6" t="n">
        <v>1000</v>
      </c>
      <c r="F542" s="7" t="n">
        <v>12</v>
      </c>
      <c r="G542" s="6" t="n">
        <v>16.83</v>
      </c>
      <c r="H542" s="6" t="n">
        <v>26</v>
      </c>
      <c r="I542" s="6" t="n">
        <v>201.96</v>
      </c>
      <c r="J542" s="6" t="n">
        <v>175.96</v>
      </c>
    </row>
    <row collapsed="false" customFormat="false" customHeight="false" hidden="false" ht="12.1" outlineLevel="0" r="543">
      <c r="A543" s="39" t="n">
        <v>47260</v>
      </c>
      <c r="B543" s="2" t="s">
        <v>803</v>
      </c>
      <c r="C543" s="2" t="s">
        <v>161</v>
      </c>
      <c r="D543" s="2" t="s">
        <v>162</v>
      </c>
      <c r="E543" s="6" t="n">
        <v>1000</v>
      </c>
      <c r="F543" s="7" t="n">
        <v>34</v>
      </c>
      <c r="G543" s="6" t="n">
        <v>47.37</v>
      </c>
      <c r="H543" s="6" t="n">
        <v>209</v>
      </c>
      <c r="I543" s="6" t="n">
        <v>1610.58</v>
      </c>
      <c r="J543" s="6" t="n">
        <v>1401.58</v>
      </c>
    </row>
    <row collapsed="false" customFormat="false" customHeight="false" hidden="false" ht="12.1" outlineLevel="0" r="544">
      <c r="A544" s="39" t="n">
        <v>47260</v>
      </c>
      <c r="B544" s="2" t="s">
        <v>803</v>
      </c>
      <c r="C544" s="2" t="s">
        <v>164</v>
      </c>
      <c r="D544" s="2" t="s">
        <v>165</v>
      </c>
      <c r="E544" s="6" t="n">
        <v>1000</v>
      </c>
      <c r="F544" s="7" t="n">
        <v>20</v>
      </c>
      <c r="G544" s="6" t="n">
        <v>61.08</v>
      </c>
      <c r="H544" s="6" t="n">
        <v>159</v>
      </c>
      <c r="I544" s="6" t="n">
        <v>1221.6</v>
      </c>
      <c r="J544" s="6" t="n">
        <v>1062.6</v>
      </c>
    </row>
    <row collapsed="false" customFormat="false" customHeight="false" hidden="false" ht="12.1" outlineLevel="0" r="545">
      <c r="A545" s="39" t="n">
        <v>47267</v>
      </c>
      <c r="B545" s="2" t="s">
        <v>803</v>
      </c>
      <c r="C545" s="2" t="s">
        <v>167</v>
      </c>
      <c r="D545" s="2" t="s">
        <v>168</v>
      </c>
      <c r="E545" s="6" t="n">
        <v>1000</v>
      </c>
      <c r="F545" s="7" t="n">
        <v>20</v>
      </c>
      <c r="G545" s="6" t="n">
        <v>61.08</v>
      </c>
      <c r="H545" s="6" t="n">
        <v>159</v>
      </c>
      <c r="I545" s="6" t="n">
        <v>1221.6</v>
      </c>
      <c r="J545" s="6" t="n">
        <v>1062.6</v>
      </c>
    </row>
    <row collapsed="false" customFormat="false" customHeight="false" hidden="false" ht="12.1" outlineLevel="0" r="546">
      <c r="A546" s="39" t="n">
        <v>47267</v>
      </c>
      <c r="B546" s="2" t="s">
        <v>803</v>
      </c>
      <c r="C546" s="2" t="s">
        <v>136</v>
      </c>
      <c r="D546" s="2" t="s">
        <v>138</v>
      </c>
      <c r="E546" s="6" t="n">
        <v>1000</v>
      </c>
      <c r="F546" s="7" t="n">
        <v>88</v>
      </c>
      <c r="G546" s="6" t="n">
        <v>35.4</v>
      </c>
      <c r="H546" s="6" t="n">
        <v>405</v>
      </c>
      <c r="I546" s="6" t="n">
        <v>3115.2</v>
      </c>
      <c r="J546" s="6" t="n">
        <v>2710.2</v>
      </c>
    </row>
    <row collapsed="false" customFormat="false" customHeight="false" hidden="false" ht="12.1" outlineLevel="0" r="547">
      <c r="A547" s="39" t="n">
        <v>47267</v>
      </c>
      <c r="B547" s="2" t="s">
        <v>803</v>
      </c>
      <c r="C547" s="2" t="s">
        <v>143</v>
      </c>
      <c r="D547" s="2" t="s">
        <v>144</v>
      </c>
      <c r="E547" s="6" t="n">
        <v>1000</v>
      </c>
      <c r="F547" s="7" t="n">
        <v>53</v>
      </c>
      <c r="G547" s="6" t="n">
        <v>48.87</v>
      </c>
      <c r="H547" s="6" t="n">
        <v>337</v>
      </c>
      <c r="I547" s="6" t="n">
        <v>2590.11</v>
      </c>
      <c r="J547" s="6" t="n">
        <v>2253.11</v>
      </c>
    </row>
    <row collapsed="false" customFormat="false" customHeight="false" hidden="false" ht="12.1" outlineLevel="0" r="548">
      <c r="A548" s="39" t="n">
        <v>47274</v>
      </c>
      <c r="B548" s="2" t="s">
        <v>803</v>
      </c>
      <c r="C548" s="2" t="s">
        <v>242</v>
      </c>
      <c r="D548" s="2" t="s">
        <v>243</v>
      </c>
      <c r="E548" s="6" t="n">
        <v>553.32</v>
      </c>
      <c r="F548" s="7" t="n">
        <v>1</v>
      </c>
      <c r="G548" s="6" t="n">
        <v>14.18</v>
      </c>
      <c r="H548" s="6" t="n">
        <v>2</v>
      </c>
      <c r="I548" s="6" t="n">
        <v>14.18</v>
      </c>
      <c r="J548" s="6" t="n">
        <v>12.18</v>
      </c>
    </row>
    <row collapsed="false" customFormat="false" customHeight="false" hidden="false" ht="12.1" outlineLevel="0" r="549">
      <c r="A549" s="39" t="n">
        <v>47276</v>
      </c>
      <c r="B549" s="2" t="s">
        <v>803</v>
      </c>
      <c r="C549" s="2" t="s">
        <v>173</v>
      </c>
      <c r="D549" s="2" t="s">
        <v>174</v>
      </c>
      <c r="E549" s="6" t="n">
        <v>1000</v>
      </c>
      <c r="F549" s="7" t="n">
        <v>20</v>
      </c>
      <c r="G549" s="6" t="n">
        <v>17.83</v>
      </c>
      <c r="H549" s="6" t="n">
        <v>46</v>
      </c>
      <c r="I549" s="6" t="n">
        <v>356.6</v>
      </c>
      <c r="J549" s="6" t="n">
        <v>310.6</v>
      </c>
    </row>
    <row collapsed="false" customFormat="false" customHeight="false" hidden="false" ht="12.1" outlineLevel="0" r="550">
      <c r="A550" s="39" t="n">
        <v>47317</v>
      </c>
      <c r="B550" s="2" t="s">
        <v>803</v>
      </c>
      <c r="C550" s="2" t="s">
        <v>182</v>
      </c>
      <c r="D550" s="2" t="s">
        <v>183</v>
      </c>
      <c r="E550" s="6" t="n">
        <v>1000</v>
      </c>
      <c r="F550" s="7" t="n">
        <v>12</v>
      </c>
      <c r="G550" s="6" t="n">
        <v>16.83</v>
      </c>
      <c r="H550" s="6" t="n">
        <v>26</v>
      </c>
      <c r="I550" s="6" t="n">
        <v>201.96</v>
      </c>
      <c r="J550" s="6" t="n">
        <v>175.96</v>
      </c>
    </row>
    <row collapsed="false" customFormat="false" customHeight="false" hidden="false" ht="12.1" outlineLevel="0" r="551">
      <c r="A551" s="39" t="n">
        <v>47337</v>
      </c>
      <c r="B551" s="2" t="s">
        <v>803</v>
      </c>
      <c r="C551" s="2" t="s">
        <v>140</v>
      </c>
      <c r="D551" s="2" t="s">
        <v>141</v>
      </c>
      <c r="E551" s="6" t="n">
        <v>1000</v>
      </c>
      <c r="F551" s="7" t="n">
        <v>80</v>
      </c>
      <c r="G551" s="6" t="n">
        <v>34.9</v>
      </c>
      <c r="H551" s="6" t="n">
        <v>363</v>
      </c>
      <c r="I551" s="6" t="n">
        <v>2792</v>
      </c>
      <c r="J551" s="6" t="n">
        <v>2429</v>
      </c>
    </row>
    <row collapsed="false" customFormat="false" customHeight="false" hidden="false" ht="12.1" outlineLevel="0" r="552">
      <c r="A552" s="39" t="n">
        <v>47365</v>
      </c>
      <c r="B552" s="2" t="s">
        <v>803</v>
      </c>
      <c r="C552" s="2" t="s">
        <v>242</v>
      </c>
      <c r="D552" s="2" t="s">
        <v>243</v>
      </c>
      <c r="E552" s="6" t="n">
        <v>553.32</v>
      </c>
      <c r="F552" s="7" t="n">
        <v>1</v>
      </c>
      <c r="G552" s="6" t="n">
        <v>12.6</v>
      </c>
      <c r="H552" s="6" t="n">
        <v>2</v>
      </c>
      <c r="I552" s="6" t="n">
        <v>12.6</v>
      </c>
      <c r="J552" s="6" t="n">
        <v>10.6</v>
      </c>
    </row>
    <row collapsed="false" customFormat="false" customHeight="false" hidden="false" ht="12.1" outlineLevel="0" r="553">
      <c r="A553" s="39" t="n">
        <v>47367</v>
      </c>
      <c r="B553" s="2" t="s">
        <v>803</v>
      </c>
      <c r="C553" s="2" t="s">
        <v>173</v>
      </c>
      <c r="D553" s="2" t="s">
        <v>174</v>
      </c>
      <c r="E553" s="6" t="n">
        <v>1000</v>
      </c>
      <c r="F553" s="7" t="n">
        <v>20</v>
      </c>
      <c r="G553" s="6" t="n">
        <v>17.83</v>
      </c>
      <c r="H553" s="6" t="n">
        <v>46</v>
      </c>
      <c r="I553" s="6" t="n">
        <v>356.6</v>
      </c>
      <c r="J553" s="6" t="n">
        <v>310.6</v>
      </c>
    </row>
    <row collapsed="false" customFormat="false" customHeight="false" hidden="false" ht="12.1" outlineLevel="0" r="554">
      <c r="A554" s="39" t="n">
        <v>47379</v>
      </c>
      <c r="B554" s="2" t="s">
        <v>803</v>
      </c>
      <c r="C554" s="2" t="s">
        <v>152</v>
      </c>
      <c r="D554" s="2" t="s">
        <v>153</v>
      </c>
      <c r="E554" s="6" t="n">
        <v>1000</v>
      </c>
      <c r="F554" s="7" t="n">
        <v>34</v>
      </c>
      <c r="G554" s="6" t="n">
        <v>59.84</v>
      </c>
      <c r="H554" s="6" t="n">
        <v>264</v>
      </c>
      <c r="I554" s="6" t="n">
        <v>2034.56</v>
      </c>
      <c r="J554" s="6" t="n">
        <v>1770.56</v>
      </c>
    </row>
    <row collapsed="false" customFormat="false" customHeight="false" hidden="false" ht="12.1" outlineLevel="0" r="555">
      <c r="A555" s="39" t="n">
        <v>47379</v>
      </c>
      <c r="B555" s="2" t="s">
        <v>803</v>
      </c>
      <c r="C555" s="2" t="s">
        <v>146</v>
      </c>
      <c r="D555" s="2" t="s">
        <v>147</v>
      </c>
      <c r="E555" s="6" t="n">
        <v>1000</v>
      </c>
      <c r="F555" s="7" t="n">
        <v>40</v>
      </c>
      <c r="G555" s="6" t="n">
        <v>56.1</v>
      </c>
      <c r="H555" s="6" t="n">
        <v>292</v>
      </c>
      <c r="I555" s="6" t="n">
        <v>2244</v>
      </c>
      <c r="J555" s="6" t="n">
        <v>1952</v>
      </c>
    </row>
    <row collapsed="false" customFormat="false" customHeight="false" hidden="false" ht="12.1" outlineLevel="0" r="556">
      <c r="A556" s="39" t="n">
        <v>47386</v>
      </c>
      <c r="B556" s="2" t="s">
        <v>803</v>
      </c>
      <c r="C556" s="2" t="s">
        <v>149</v>
      </c>
      <c r="D556" s="2" t="s">
        <v>150</v>
      </c>
      <c r="E556" s="6" t="n">
        <v>1000</v>
      </c>
      <c r="F556" s="7" t="n">
        <v>45</v>
      </c>
      <c r="G556" s="6" t="n">
        <v>38.39</v>
      </c>
      <c r="H556" s="6" t="n">
        <v>225</v>
      </c>
      <c r="I556" s="6" t="n">
        <v>1727.55</v>
      </c>
      <c r="J556" s="6" t="n">
        <v>1502.55</v>
      </c>
    </row>
    <row collapsed="false" customFormat="false" customHeight="false" hidden="false" ht="12.1" outlineLevel="0" r="557">
      <c r="A557" s="39" t="n">
        <v>47408</v>
      </c>
      <c r="B557" s="2" t="s">
        <v>803</v>
      </c>
      <c r="C557" s="2" t="s">
        <v>182</v>
      </c>
      <c r="D557" s="2" t="s">
        <v>183</v>
      </c>
      <c r="E557" s="6" t="n">
        <v>1000</v>
      </c>
      <c r="F557" s="7" t="n">
        <v>12</v>
      </c>
      <c r="G557" s="6" t="n">
        <v>16.83</v>
      </c>
      <c r="H557" s="6" t="n">
        <v>26</v>
      </c>
      <c r="I557" s="6" t="n">
        <v>201.96</v>
      </c>
      <c r="J557" s="6" t="n">
        <v>175.96</v>
      </c>
    </row>
    <row collapsed="false" customFormat="false" customHeight="false" hidden="false" ht="12.1" outlineLevel="0" r="558">
      <c r="A558" s="39" t="n">
        <v>47442</v>
      </c>
      <c r="B558" s="2" t="s">
        <v>803</v>
      </c>
      <c r="C558" s="2" t="s">
        <v>164</v>
      </c>
      <c r="D558" s="2" t="s">
        <v>165</v>
      </c>
      <c r="E558" s="6" t="n">
        <v>1000</v>
      </c>
      <c r="F558" s="7" t="n">
        <v>20</v>
      </c>
      <c r="G558" s="6" t="n">
        <v>61.08</v>
      </c>
      <c r="H558" s="6" t="n">
        <v>159</v>
      </c>
      <c r="I558" s="6" t="n">
        <v>1221.6</v>
      </c>
      <c r="J558" s="6" t="n">
        <v>1062.6</v>
      </c>
    </row>
    <row collapsed="false" customFormat="false" customHeight="false" hidden="false" ht="12.1" outlineLevel="0" r="559">
      <c r="A559" s="39" t="n">
        <v>47442</v>
      </c>
      <c r="B559" s="2" t="s">
        <v>803</v>
      </c>
      <c r="C559" s="2" t="s">
        <v>161</v>
      </c>
      <c r="D559" s="2" t="s">
        <v>162</v>
      </c>
      <c r="E559" s="6" t="n">
        <v>1000</v>
      </c>
      <c r="F559" s="7" t="n">
        <v>34</v>
      </c>
      <c r="G559" s="6" t="n">
        <v>47.37</v>
      </c>
      <c r="H559" s="6" t="n">
        <v>209</v>
      </c>
      <c r="I559" s="6" t="n">
        <v>1610.58</v>
      </c>
      <c r="J559" s="6" t="n">
        <v>1401.58</v>
      </c>
    </row>
    <row collapsed="false" customFormat="false" customHeight="false" hidden="false" ht="12.1" outlineLevel="0" r="560">
      <c r="A560" s="39" t="n">
        <v>47449</v>
      </c>
      <c r="B560" s="2" t="s">
        <v>803</v>
      </c>
      <c r="C560" s="2" t="s">
        <v>143</v>
      </c>
      <c r="D560" s="2" t="s">
        <v>144</v>
      </c>
      <c r="E560" s="6" t="n">
        <v>1000</v>
      </c>
      <c r="F560" s="7" t="n">
        <v>53</v>
      </c>
      <c r="G560" s="6" t="n">
        <v>48.87</v>
      </c>
      <c r="H560" s="6" t="n">
        <v>337</v>
      </c>
      <c r="I560" s="6" t="n">
        <v>2590.11</v>
      </c>
      <c r="J560" s="6" t="n">
        <v>2253.11</v>
      </c>
    </row>
    <row collapsed="false" customFormat="false" customHeight="false" hidden="false" ht="12.1" outlineLevel="0" r="561">
      <c r="A561" s="39" t="n">
        <v>47449</v>
      </c>
      <c r="B561" s="2" t="s">
        <v>803</v>
      </c>
      <c r="C561" s="2" t="s">
        <v>136</v>
      </c>
      <c r="D561" s="2" t="s">
        <v>138</v>
      </c>
      <c r="E561" s="6" t="n">
        <v>1000</v>
      </c>
      <c r="F561" s="7" t="n">
        <v>88</v>
      </c>
      <c r="G561" s="6" t="n">
        <v>35.4</v>
      </c>
      <c r="H561" s="6" t="n">
        <v>405</v>
      </c>
      <c r="I561" s="6" t="n">
        <v>3115.2</v>
      </c>
      <c r="J561" s="6" t="n">
        <v>2710.2</v>
      </c>
    </row>
    <row collapsed="false" customFormat="false" customHeight="false" hidden="false" ht="12.1" outlineLevel="0" r="562">
      <c r="A562" s="39" t="n">
        <v>47449</v>
      </c>
      <c r="B562" s="2" t="s">
        <v>803</v>
      </c>
      <c r="C562" s="2" t="s">
        <v>167</v>
      </c>
      <c r="D562" s="2" t="s">
        <v>168</v>
      </c>
      <c r="E562" s="6" t="n">
        <v>1000</v>
      </c>
      <c r="F562" s="7" t="n">
        <v>20</v>
      </c>
      <c r="G562" s="6" t="n">
        <v>61.08</v>
      </c>
      <c r="H562" s="6" t="n">
        <v>159</v>
      </c>
      <c r="I562" s="6" t="n">
        <v>1221.6</v>
      </c>
      <c r="J562" s="6" t="n">
        <v>1062.6</v>
      </c>
    </row>
    <row collapsed="false" customFormat="false" customHeight="false" hidden="false" ht="12.1" outlineLevel="0" r="563">
      <c r="A563" s="39" t="n">
        <v>47456</v>
      </c>
      <c r="B563" s="2" t="s">
        <v>803</v>
      </c>
      <c r="C563" s="2" t="s">
        <v>242</v>
      </c>
      <c r="D563" s="2" t="s">
        <v>243</v>
      </c>
      <c r="E563" s="6" t="n">
        <v>553.32</v>
      </c>
      <c r="F563" s="7" t="n">
        <v>1</v>
      </c>
      <c r="G563" s="6" t="n">
        <v>10.97</v>
      </c>
      <c r="H563" s="6" t="n">
        <v>1</v>
      </c>
      <c r="I563" s="6" t="n">
        <v>10.97</v>
      </c>
      <c r="J563" s="6" t="n">
        <v>9.97</v>
      </c>
    </row>
    <row collapsed="false" customFormat="false" customHeight="false" hidden="false" ht="12.1" outlineLevel="0" r="564">
      <c r="A564" s="39" t="n">
        <v>47458</v>
      </c>
      <c r="B564" s="2" t="s">
        <v>803</v>
      </c>
      <c r="C564" s="2" t="s">
        <v>173</v>
      </c>
      <c r="D564" s="2" t="s">
        <v>174</v>
      </c>
      <c r="E564" s="6" t="n">
        <v>1000</v>
      </c>
      <c r="F564" s="7" t="n">
        <v>20</v>
      </c>
      <c r="G564" s="6" t="n">
        <v>17.83</v>
      </c>
      <c r="H564" s="6" t="n">
        <v>46</v>
      </c>
      <c r="I564" s="6" t="n">
        <v>356.6</v>
      </c>
      <c r="J564" s="6" t="n">
        <v>310.6</v>
      </c>
    </row>
    <row collapsed="false" customFormat="false" customHeight="false" hidden="false" ht="12.1" outlineLevel="0" r="565">
      <c r="A565" s="39" t="n">
        <v>47499</v>
      </c>
      <c r="B565" s="2" t="s">
        <v>803</v>
      </c>
      <c r="C565" s="2" t="s">
        <v>182</v>
      </c>
      <c r="D565" s="2" t="s">
        <v>183</v>
      </c>
      <c r="E565" s="6" t="n">
        <v>1000</v>
      </c>
      <c r="F565" s="7" t="n">
        <v>12</v>
      </c>
      <c r="G565" s="6" t="n">
        <v>16.83</v>
      </c>
      <c r="H565" s="6" t="n">
        <v>26</v>
      </c>
      <c r="I565" s="6" t="n">
        <v>201.96</v>
      </c>
      <c r="J565" s="6" t="n">
        <v>175.96</v>
      </c>
    </row>
    <row collapsed="false" customFormat="false" customHeight="false" hidden="false" ht="12.1" outlineLevel="0" r="566">
      <c r="A566" s="39" t="n">
        <v>47519</v>
      </c>
      <c r="B566" s="2" t="s">
        <v>803</v>
      </c>
      <c r="C566" s="2" t="s">
        <v>140</v>
      </c>
      <c r="D566" s="2" t="s">
        <v>141</v>
      </c>
      <c r="E566" s="6" t="n">
        <v>1000</v>
      </c>
      <c r="F566" s="7" t="n">
        <v>80</v>
      </c>
      <c r="G566" s="6" t="n">
        <v>34.9</v>
      </c>
      <c r="H566" s="6" t="n">
        <v>363</v>
      </c>
      <c r="I566" s="6" t="n">
        <v>2792</v>
      </c>
      <c r="J566" s="6" t="n">
        <v>2429</v>
      </c>
    </row>
    <row collapsed="false" customFormat="false" customHeight="false" hidden="false" ht="12.1" outlineLevel="0" r="567">
      <c r="A567" s="39" t="n">
        <v>47547</v>
      </c>
      <c r="B567" s="2" t="s">
        <v>803</v>
      </c>
      <c r="C567" s="2" t="s">
        <v>242</v>
      </c>
      <c r="D567" s="2" t="s">
        <v>243</v>
      </c>
      <c r="E567" s="6" t="n">
        <v>553.32</v>
      </c>
      <c r="F567" s="7" t="n">
        <v>1</v>
      </c>
      <c r="G567" s="6" t="n">
        <v>9.29</v>
      </c>
      <c r="H567" s="6" t="n">
        <v>1</v>
      </c>
      <c r="I567" s="6" t="n">
        <v>9.29</v>
      </c>
      <c r="J567" s="6" t="n">
        <v>8.29</v>
      </c>
    </row>
    <row collapsed="false" customFormat="false" customHeight="false" hidden="false" ht="12.1" outlineLevel="0" r="568">
      <c r="A568" s="39" t="n">
        <v>47561</v>
      </c>
      <c r="B568" s="2" t="s">
        <v>803</v>
      </c>
      <c r="C568" s="2" t="s">
        <v>146</v>
      </c>
      <c r="D568" s="2" t="s">
        <v>147</v>
      </c>
      <c r="E568" s="6" t="n">
        <v>1000</v>
      </c>
      <c r="F568" s="7" t="n">
        <v>40</v>
      </c>
      <c r="G568" s="6" t="n">
        <v>56.1</v>
      </c>
      <c r="H568" s="6" t="n">
        <v>292</v>
      </c>
      <c r="I568" s="6" t="n">
        <v>2244</v>
      </c>
      <c r="J568" s="6" t="n">
        <v>1952</v>
      </c>
    </row>
    <row collapsed="false" customFormat="false" customHeight="false" hidden="false" ht="12.1" outlineLevel="0" r="569">
      <c r="A569" s="39" t="n">
        <v>47561</v>
      </c>
      <c r="B569" s="2" t="s">
        <v>803</v>
      </c>
      <c r="C569" s="2" t="s">
        <v>152</v>
      </c>
      <c r="D569" s="2" t="s">
        <v>153</v>
      </c>
      <c r="E569" s="6" t="n">
        <v>1000</v>
      </c>
      <c r="F569" s="7" t="n">
        <v>34</v>
      </c>
      <c r="G569" s="6" t="n">
        <v>59.84</v>
      </c>
      <c r="H569" s="6" t="n">
        <v>264</v>
      </c>
      <c r="I569" s="6" t="n">
        <v>2034.56</v>
      </c>
      <c r="J569" s="6" t="n">
        <v>1770.56</v>
      </c>
    </row>
    <row collapsed="false" customFormat="false" customHeight="false" hidden="false" ht="12.1" outlineLevel="0" r="570">
      <c r="A570" s="39" t="n">
        <v>47568</v>
      </c>
      <c r="B570" s="2" t="s">
        <v>803</v>
      </c>
      <c r="C570" s="2" t="s">
        <v>149</v>
      </c>
      <c r="D570" s="2" t="s">
        <v>150</v>
      </c>
      <c r="E570" s="6" t="n">
        <v>1000</v>
      </c>
      <c r="F570" s="7" t="n">
        <v>45</v>
      </c>
      <c r="G570" s="6" t="n">
        <v>38.39</v>
      </c>
      <c r="H570" s="6" t="n">
        <v>225</v>
      </c>
      <c r="I570" s="6" t="n">
        <v>1727.55</v>
      </c>
      <c r="J570" s="6" t="n">
        <v>1502.55</v>
      </c>
    </row>
    <row collapsed="false" customFormat="false" customHeight="false" hidden="false" ht="12.1" outlineLevel="0" r="571">
      <c r="A571" s="39" t="n">
        <v>47574</v>
      </c>
      <c r="B571" s="2" t="s">
        <v>803</v>
      </c>
      <c r="C571" s="2" t="s">
        <v>233</v>
      </c>
      <c r="D571" s="2" t="s">
        <v>234</v>
      </c>
      <c r="E571" s="6" t="n">
        <v>183.41</v>
      </c>
      <c r="F571" s="7" t="n">
        <v>10</v>
      </c>
      <c r="G571" s="6" t="n">
        <v>0.59</v>
      </c>
      <c r="H571" s="6" t="n">
        <v>1</v>
      </c>
      <c r="I571" s="6" t="n">
        <v>5.9</v>
      </c>
      <c r="J571" s="6" t="n">
        <v>4.9</v>
      </c>
    </row>
    <row collapsed="false" customFormat="false" customHeight="false" hidden="false" ht="12.1" outlineLevel="0" r="572">
      <c r="A572" s="39" t="n">
        <v>47624</v>
      </c>
      <c r="B572" s="2" t="s">
        <v>803</v>
      </c>
      <c r="C572" s="2" t="s">
        <v>164</v>
      </c>
      <c r="D572" s="2" t="s">
        <v>165</v>
      </c>
      <c r="E572" s="6" t="n">
        <v>1000</v>
      </c>
      <c r="F572" s="7" t="n">
        <v>20</v>
      </c>
      <c r="G572" s="6" t="n">
        <v>61.08</v>
      </c>
      <c r="H572" s="6" t="n">
        <v>159</v>
      </c>
      <c r="I572" s="6" t="n">
        <v>1221.6</v>
      </c>
      <c r="J572" s="6" t="n">
        <v>1062.6</v>
      </c>
    </row>
    <row collapsed="false" customFormat="false" customHeight="false" hidden="false" ht="12.1" outlineLevel="0" r="573">
      <c r="A573" s="39" t="n">
        <v>47624</v>
      </c>
      <c r="B573" s="2" t="s">
        <v>803</v>
      </c>
      <c r="C573" s="2" t="s">
        <v>161</v>
      </c>
      <c r="D573" s="2" t="s">
        <v>162</v>
      </c>
      <c r="E573" s="6" t="n">
        <v>1000</v>
      </c>
      <c r="F573" s="7" t="n">
        <v>34</v>
      </c>
      <c r="G573" s="6" t="n">
        <v>47.37</v>
      </c>
      <c r="H573" s="6" t="n">
        <v>209</v>
      </c>
      <c r="I573" s="6" t="n">
        <v>1610.58</v>
      </c>
      <c r="J573" s="6" t="n">
        <v>1401.58</v>
      </c>
    </row>
    <row collapsed="false" customFormat="false" customHeight="false" hidden="false" ht="12.1" outlineLevel="0" r="574">
      <c r="A574" s="39" t="n">
        <v>47631</v>
      </c>
      <c r="B574" s="2" t="s">
        <v>803</v>
      </c>
      <c r="C574" s="2" t="s">
        <v>143</v>
      </c>
      <c r="D574" s="2" t="s">
        <v>144</v>
      </c>
      <c r="E574" s="6" t="n">
        <v>1000</v>
      </c>
      <c r="F574" s="7" t="n">
        <v>53</v>
      </c>
      <c r="G574" s="6" t="n">
        <v>48.87</v>
      </c>
      <c r="H574" s="6" t="n">
        <v>337</v>
      </c>
      <c r="I574" s="6" t="n">
        <v>2590.11</v>
      </c>
      <c r="J574" s="6" t="n">
        <v>2253.11</v>
      </c>
    </row>
    <row collapsed="false" customFormat="false" customHeight="false" hidden="false" ht="12.1" outlineLevel="0" r="575">
      <c r="A575" s="39" t="n">
        <v>47631</v>
      </c>
      <c r="B575" s="2" t="s">
        <v>803</v>
      </c>
      <c r="C575" s="2" t="s">
        <v>167</v>
      </c>
      <c r="D575" s="2" t="s">
        <v>168</v>
      </c>
      <c r="E575" s="6" t="n">
        <v>1000</v>
      </c>
      <c r="F575" s="7" t="n">
        <v>20</v>
      </c>
      <c r="G575" s="6" t="n">
        <v>61.08</v>
      </c>
      <c r="H575" s="6" t="n">
        <v>159</v>
      </c>
      <c r="I575" s="6" t="n">
        <v>1221.6</v>
      </c>
      <c r="J575" s="6" t="n">
        <v>1062.6</v>
      </c>
    </row>
    <row collapsed="false" customFormat="false" customHeight="false" hidden="false" ht="12.1" outlineLevel="0" r="576">
      <c r="A576" s="39" t="n">
        <v>47631</v>
      </c>
      <c r="B576" s="2" t="s">
        <v>803</v>
      </c>
      <c r="C576" s="2" t="s">
        <v>136</v>
      </c>
      <c r="D576" s="2" t="s">
        <v>138</v>
      </c>
      <c r="E576" s="6" t="n">
        <v>1000</v>
      </c>
      <c r="F576" s="7" t="n">
        <v>88</v>
      </c>
      <c r="G576" s="6" t="n">
        <v>35.4</v>
      </c>
      <c r="H576" s="6" t="n">
        <v>405</v>
      </c>
      <c r="I576" s="6" t="n">
        <v>3115.2</v>
      </c>
      <c r="J576" s="6" t="n">
        <v>2710.2</v>
      </c>
    </row>
    <row collapsed="false" customFormat="false" customHeight="false" hidden="false" ht="12.1" outlineLevel="0" r="577">
      <c r="A577" s="39" t="n">
        <v>47638</v>
      </c>
      <c r="B577" s="2" t="s">
        <v>803</v>
      </c>
      <c r="C577" s="2" t="s">
        <v>242</v>
      </c>
      <c r="D577" s="2" t="s">
        <v>243</v>
      </c>
      <c r="E577" s="6" t="n">
        <v>553.32</v>
      </c>
      <c r="F577" s="7" t="n">
        <v>1</v>
      </c>
      <c r="G577" s="6" t="n">
        <v>7.55</v>
      </c>
      <c r="H577" s="6" t="n">
        <v>1</v>
      </c>
      <c r="I577" s="6" t="n">
        <v>7.55</v>
      </c>
      <c r="J577" s="6" t="n">
        <v>6.55</v>
      </c>
    </row>
    <row collapsed="false" customFormat="false" customHeight="false" hidden="false" ht="12.1" outlineLevel="0" r="578">
      <c r="A578" s="39" t="n">
        <v>47701</v>
      </c>
      <c r="B578" s="2" t="s">
        <v>803</v>
      </c>
      <c r="C578" s="2" t="s">
        <v>140</v>
      </c>
      <c r="D578" s="2" t="s">
        <v>141</v>
      </c>
      <c r="E578" s="6" t="n">
        <v>1000</v>
      </c>
      <c r="F578" s="7" t="n">
        <v>80</v>
      </c>
      <c r="G578" s="6" t="n">
        <v>34.9</v>
      </c>
      <c r="H578" s="6" t="n">
        <v>363</v>
      </c>
      <c r="I578" s="6" t="n">
        <v>2792</v>
      </c>
      <c r="J578" s="6" t="n">
        <v>2429</v>
      </c>
    </row>
    <row collapsed="false" customFormat="false" customHeight="false" hidden="false" ht="12.1" outlineLevel="0" r="579">
      <c r="A579" s="39" t="n">
        <v>47729</v>
      </c>
      <c r="B579" s="2" t="s">
        <v>803</v>
      </c>
      <c r="C579" s="2" t="s">
        <v>242</v>
      </c>
      <c r="D579" s="2" t="s">
        <v>243</v>
      </c>
      <c r="E579" s="6" t="n">
        <v>553.32</v>
      </c>
      <c r="F579" s="7" t="n">
        <v>1</v>
      </c>
      <c r="G579" s="6" t="n">
        <v>5.77</v>
      </c>
      <c r="H579" s="6" t="n">
        <v>1</v>
      </c>
      <c r="I579" s="6" t="n">
        <v>5.77</v>
      </c>
      <c r="J579" s="6" t="n">
        <v>4.77</v>
      </c>
    </row>
    <row collapsed="false" customFormat="false" customHeight="false" hidden="false" ht="12.1" outlineLevel="0" r="580">
      <c r="A580" s="39" t="n">
        <v>47743</v>
      </c>
      <c r="B580" s="2" t="s">
        <v>803</v>
      </c>
      <c r="C580" s="2" t="s">
        <v>146</v>
      </c>
      <c r="D580" s="2" t="s">
        <v>147</v>
      </c>
      <c r="E580" s="6" t="n">
        <v>1000</v>
      </c>
      <c r="F580" s="7" t="n">
        <v>40</v>
      </c>
      <c r="G580" s="6" t="n">
        <v>56.1</v>
      </c>
      <c r="H580" s="6" t="n">
        <v>292</v>
      </c>
      <c r="I580" s="6" t="n">
        <v>2244</v>
      </c>
      <c r="J580" s="6" t="n">
        <v>1952</v>
      </c>
    </row>
    <row collapsed="false" customFormat="false" customHeight="false" hidden="false" ht="12.1" outlineLevel="0" r="581">
      <c r="A581" s="39" t="n">
        <v>47743</v>
      </c>
      <c r="B581" s="2" t="s">
        <v>803</v>
      </c>
      <c r="C581" s="2" t="s">
        <v>152</v>
      </c>
      <c r="D581" s="2" t="s">
        <v>153</v>
      </c>
      <c r="E581" s="6" t="n">
        <v>1000</v>
      </c>
      <c r="F581" s="7" t="n">
        <v>34</v>
      </c>
      <c r="G581" s="6" t="n">
        <v>59.84</v>
      </c>
      <c r="H581" s="6" t="n">
        <v>264</v>
      </c>
      <c r="I581" s="6" t="n">
        <v>2034.56</v>
      </c>
      <c r="J581" s="6" t="n">
        <v>1770.56</v>
      </c>
    </row>
    <row collapsed="false" customFormat="false" customHeight="false" hidden="false" ht="12.1" outlineLevel="0" r="582">
      <c r="A582" s="39" t="n">
        <v>47750</v>
      </c>
      <c r="B582" s="2" t="s">
        <v>803</v>
      </c>
      <c r="C582" s="2" t="s">
        <v>149</v>
      </c>
      <c r="D582" s="2" t="s">
        <v>150</v>
      </c>
      <c r="E582" s="6" t="n">
        <v>1000</v>
      </c>
      <c r="F582" s="7" t="n">
        <v>45</v>
      </c>
      <c r="G582" s="6" t="n">
        <v>38.39</v>
      </c>
      <c r="H582" s="6" t="n">
        <v>225</v>
      </c>
      <c r="I582" s="6" t="n">
        <v>1727.55</v>
      </c>
      <c r="J582" s="6" t="n">
        <v>1502.55</v>
      </c>
    </row>
    <row collapsed="false" customFormat="false" customHeight="false" hidden="false" ht="12.1" outlineLevel="0" r="583">
      <c r="A583" s="39" t="n">
        <v>47806</v>
      </c>
      <c r="B583" s="2" t="s">
        <v>803</v>
      </c>
      <c r="C583" s="2" t="s">
        <v>164</v>
      </c>
      <c r="D583" s="2" t="s">
        <v>165</v>
      </c>
      <c r="E583" s="6" t="n">
        <v>1000</v>
      </c>
      <c r="F583" s="7" t="n">
        <v>20</v>
      </c>
      <c r="G583" s="6" t="n">
        <v>61.08</v>
      </c>
      <c r="H583" s="6" t="n">
        <v>159</v>
      </c>
      <c r="I583" s="6" t="n">
        <v>1221.6</v>
      </c>
      <c r="J583" s="6" t="n">
        <v>1062.6</v>
      </c>
    </row>
    <row collapsed="false" customFormat="false" customHeight="false" hidden="false" ht="12.1" outlineLevel="0" r="584">
      <c r="A584" s="39" t="n">
        <v>47806</v>
      </c>
      <c r="B584" s="2" t="s">
        <v>803</v>
      </c>
      <c r="C584" s="2" t="s">
        <v>161</v>
      </c>
      <c r="D584" s="2" t="s">
        <v>162</v>
      </c>
      <c r="E584" s="6" t="n">
        <v>1000</v>
      </c>
      <c r="F584" s="7" t="n">
        <v>34</v>
      </c>
      <c r="G584" s="6" t="n">
        <v>47.37</v>
      </c>
      <c r="H584" s="6" t="n">
        <v>209</v>
      </c>
      <c r="I584" s="6" t="n">
        <v>1610.58</v>
      </c>
      <c r="J584" s="6" t="n">
        <v>1401.58</v>
      </c>
    </row>
    <row collapsed="false" customFormat="false" customHeight="false" hidden="false" ht="12.1" outlineLevel="0" r="585">
      <c r="A585" s="39" t="n">
        <v>47813</v>
      </c>
      <c r="B585" s="2" t="s">
        <v>803</v>
      </c>
      <c r="C585" s="2" t="s">
        <v>136</v>
      </c>
      <c r="D585" s="2" t="s">
        <v>138</v>
      </c>
      <c r="E585" s="6" t="n">
        <v>1000</v>
      </c>
      <c r="F585" s="7" t="n">
        <v>88</v>
      </c>
      <c r="G585" s="6" t="n">
        <v>35.4</v>
      </c>
      <c r="H585" s="6" t="n">
        <v>405</v>
      </c>
      <c r="I585" s="6" t="n">
        <v>3115.2</v>
      </c>
      <c r="J585" s="6" t="n">
        <v>2710.2</v>
      </c>
    </row>
    <row collapsed="false" customFormat="false" customHeight="false" hidden="false" ht="12.1" outlineLevel="0" r="586">
      <c r="A586" s="39" t="n">
        <v>47813</v>
      </c>
      <c r="B586" s="2" t="s">
        <v>803</v>
      </c>
      <c r="C586" s="2" t="s">
        <v>143</v>
      </c>
      <c r="D586" s="2" t="s">
        <v>144</v>
      </c>
      <c r="E586" s="6" t="n">
        <v>1000</v>
      </c>
      <c r="F586" s="7" t="n">
        <v>53</v>
      </c>
      <c r="G586" s="6" t="n">
        <v>48.87</v>
      </c>
      <c r="H586" s="6" t="n">
        <v>337</v>
      </c>
      <c r="I586" s="6" t="n">
        <v>2590.11</v>
      </c>
      <c r="J586" s="6" t="n">
        <v>2253.11</v>
      </c>
    </row>
    <row collapsed="false" customFormat="false" customHeight="false" hidden="false" ht="12.1" outlineLevel="0" r="587">
      <c r="A587" s="39" t="n">
        <v>47813</v>
      </c>
      <c r="B587" s="2" t="s">
        <v>803</v>
      </c>
      <c r="C587" s="2" t="s">
        <v>167</v>
      </c>
      <c r="D587" s="2" t="s">
        <v>168</v>
      </c>
      <c r="E587" s="6" t="n">
        <v>1000</v>
      </c>
      <c r="F587" s="7" t="n">
        <v>20</v>
      </c>
      <c r="G587" s="6" t="n">
        <v>61.08</v>
      </c>
      <c r="H587" s="6" t="n">
        <v>159</v>
      </c>
      <c r="I587" s="6" t="n">
        <v>1221.6</v>
      </c>
      <c r="J587" s="6" t="n">
        <v>1062.6</v>
      </c>
    </row>
    <row collapsed="false" customFormat="false" customHeight="false" hidden="false" ht="12.1" outlineLevel="0" r="588">
      <c r="A588" s="39" t="n">
        <v>47817</v>
      </c>
      <c r="B588" s="2" t="s">
        <v>803</v>
      </c>
      <c r="C588" s="2" t="s">
        <v>221</v>
      </c>
      <c r="D588" s="2" t="s">
        <v>222</v>
      </c>
      <c r="E588" s="6" t="n">
        <v>362.02000000000004</v>
      </c>
      <c r="F588" s="7" t="n">
        <v>7</v>
      </c>
      <c r="G588" s="6" t="n">
        <v>0.05</v>
      </c>
      <c r="H588" s="6" t="n">
        <v>0</v>
      </c>
      <c r="I588" s="6" t="n">
        <v>0.35</v>
      </c>
      <c r="J588" s="6" t="n">
        <v>0.35</v>
      </c>
    </row>
    <row collapsed="false" customFormat="false" customHeight="false" hidden="false" ht="12.1" outlineLevel="0" r="589">
      <c r="A589" s="39" t="n">
        <v>47820</v>
      </c>
      <c r="B589" s="2" t="s">
        <v>803</v>
      </c>
      <c r="C589" s="2" t="s">
        <v>242</v>
      </c>
      <c r="D589" s="2" t="s">
        <v>243</v>
      </c>
      <c r="E589" s="6" t="n">
        <v>553.32</v>
      </c>
      <c r="F589" s="7" t="n">
        <v>1</v>
      </c>
      <c r="G589" s="6" t="n">
        <v>4.79</v>
      </c>
      <c r="H589" s="6" t="n">
        <v>1</v>
      </c>
      <c r="I589" s="6" t="n">
        <v>4.79</v>
      </c>
      <c r="J589" s="6" t="n">
        <v>3.79</v>
      </c>
    </row>
    <row collapsed="false" customFormat="false" customHeight="false" hidden="false" ht="12.1" outlineLevel="0" r="590">
      <c r="A590" s="39" t="n">
        <v>47883</v>
      </c>
      <c r="B590" s="2" t="s">
        <v>803</v>
      </c>
      <c r="C590" s="2" t="s">
        <v>140</v>
      </c>
      <c r="D590" s="2" t="s">
        <v>141</v>
      </c>
      <c r="E590" s="6" t="n">
        <v>1000</v>
      </c>
      <c r="F590" s="7" t="n">
        <v>80</v>
      </c>
      <c r="G590" s="6" t="n">
        <v>34.9</v>
      </c>
      <c r="H590" s="6" t="n">
        <v>363</v>
      </c>
      <c r="I590" s="6" t="n">
        <v>2792</v>
      </c>
      <c r="J590" s="6" t="n">
        <v>2429</v>
      </c>
    </row>
    <row collapsed="false" customFormat="false" customHeight="false" hidden="false" ht="12.1" outlineLevel="0" r="591">
      <c r="A591" s="39" t="n">
        <v>47911</v>
      </c>
      <c r="B591" s="2" t="s">
        <v>803</v>
      </c>
      <c r="C591" s="2" t="s">
        <v>242</v>
      </c>
      <c r="D591" s="2" t="s">
        <v>243</v>
      </c>
      <c r="E591" s="6" t="n">
        <v>553.32</v>
      </c>
      <c r="F591" s="7" t="n">
        <v>1</v>
      </c>
      <c r="G591" s="6" t="n">
        <v>4.25</v>
      </c>
      <c r="H591" s="6" t="n">
        <v>1</v>
      </c>
      <c r="I591" s="6" t="n">
        <v>4.25</v>
      </c>
      <c r="J591" s="6" t="n">
        <v>3.25</v>
      </c>
    </row>
    <row collapsed="false" customFormat="false" customHeight="false" hidden="false" ht="12.1" outlineLevel="0" r="592">
      <c r="A592" s="39" t="n">
        <v>47925</v>
      </c>
      <c r="B592" s="2" t="s">
        <v>803</v>
      </c>
      <c r="C592" s="2" t="s">
        <v>152</v>
      </c>
      <c r="D592" s="2" t="s">
        <v>153</v>
      </c>
      <c r="E592" s="6" t="n">
        <v>1000</v>
      </c>
      <c r="F592" s="7" t="n">
        <v>34</v>
      </c>
      <c r="G592" s="6" t="n">
        <v>59.84</v>
      </c>
      <c r="H592" s="6" t="n">
        <v>264</v>
      </c>
      <c r="I592" s="6" t="n">
        <v>2034.56</v>
      </c>
      <c r="J592" s="6" t="n">
        <v>1770.56</v>
      </c>
    </row>
    <row collapsed="false" customFormat="false" customHeight="false" hidden="false" ht="12.1" outlineLevel="0" r="593">
      <c r="A593" s="39" t="n">
        <v>47925</v>
      </c>
      <c r="B593" s="2" t="s">
        <v>803</v>
      </c>
      <c r="C593" s="2" t="s">
        <v>146</v>
      </c>
      <c r="D593" s="2" t="s">
        <v>147</v>
      </c>
      <c r="E593" s="6" t="n">
        <v>1000</v>
      </c>
      <c r="F593" s="7" t="n">
        <v>40</v>
      </c>
      <c r="G593" s="6" t="n">
        <v>56.1</v>
      </c>
      <c r="H593" s="6" t="n">
        <v>292</v>
      </c>
      <c r="I593" s="6" t="n">
        <v>2244</v>
      </c>
      <c r="J593" s="6" t="n">
        <v>1952</v>
      </c>
    </row>
    <row collapsed="false" customFormat="false" customHeight="false" hidden="false" ht="12.1" outlineLevel="0" r="594">
      <c r="A594" s="39" t="n">
        <v>47932</v>
      </c>
      <c r="B594" s="2" t="s">
        <v>803</v>
      </c>
      <c r="C594" s="2" t="s">
        <v>149</v>
      </c>
      <c r="D594" s="2" t="s">
        <v>150</v>
      </c>
      <c r="E594" s="6" t="n">
        <v>1000</v>
      </c>
      <c r="F594" s="7" t="n">
        <v>45</v>
      </c>
      <c r="G594" s="6" t="n">
        <v>38.39</v>
      </c>
      <c r="H594" s="6" t="n">
        <v>225</v>
      </c>
      <c r="I594" s="6" t="n">
        <v>1727.55</v>
      </c>
      <c r="J594" s="6" t="n">
        <v>1502.55</v>
      </c>
    </row>
    <row collapsed="false" customFormat="false" customHeight="false" hidden="false" ht="12.1" outlineLevel="0" r="595">
      <c r="A595" s="39" t="n">
        <v>47988</v>
      </c>
      <c r="B595" s="2" t="s">
        <v>803</v>
      </c>
      <c r="C595" s="2" t="s">
        <v>164</v>
      </c>
      <c r="D595" s="2" t="s">
        <v>165</v>
      </c>
      <c r="E595" s="6" t="n">
        <v>1000</v>
      </c>
      <c r="F595" s="7" t="n">
        <v>20</v>
      </c>
      <c r="G595" s="6" t="n">
        <v>61.08</v>
      </c>
      <c r="H595" s="6" t="n">
        <v>159</v>
      </c>
      <c r="I595" s="6" t="n">
        <v>1221.6</v>
      </c>
      <c r="J595" s="6" t="n">
        <v>1062.6</v>
      </c>
    </row>
    <row collapsed="false" customFormat="false" customHeight="false" hidden="false" ht="12.1" outlineLevel="0" r="596">
      <c r="A596" s="39" t="n">
        <v>47988</v>
      </c>
      <c r="B596" s="2" t="s">
        <v>803</v>
      </c>
      <c r="C596" s="2" t="s">
        <v>161</v>
      </c>
      <c r="D596" s="2" t="s">
        <v>162</v>
      </c>
      <c r="E596" s="6" t="n">
        <v>1000</v>
      </c>
      <c r="F596" s="7" t="n">
        <v>34</v>
      </c>
      <c r="G596" s="6" t="n">
        <v>47.37</v>
      </c>
      <c r="H596" s="6" t="n">
        <v>209</v>
      </c>
      <c r="I596" s="6" t="n">
        <v>1610.58</v>
      </c>
      <c r="J596" s="6" t="n">
        <v>1401.58</v>
      </c>
    </row>
    <row collapsed="false" customFormat="false" customHeight="false" hidden="false" ht="12.1" outlineLevel="0" r="597">
      <c r="A597" s="39" t="n">
        <v>47995</v>
      </c>
      <c r="B597" s="2" t="s">
        <v>803</v>
      </c>
      <c r="C597" s="2" t="s">
        <v>167</v>
      </c>
      <c r="D597" s="2" t="s">
        <v>168</v>
      </c>
      <c r="E597" s="6" t="n">
        <v>1000</v>
      </c>
      <c r="F597" s="7" t="n">
        <v>20</v>
      </c>
      <c r="G597" s="6" t="n">
        <v>61.08</v>
      </c>
      <c r="H597" s="6" t="n">
        <v>159</v>
      </c>
      <c r="I597" s="6" t="n">
        <v>1221.6</v>
      </c>
      <c r="J597" s="6" t="n">
        <v>1062.6</v>
      </c>
    </row>
    <row collapsed="false" customFormat="false" customHeight="false" hidden="false" ht="12.1" outlineLevel="0" r="598">
      <c r="A598" s="39" t="n">
        <v>47995</v>
      </c>
      <c r="B598" s="2" t="s">
        <v>803</v>
      </c>
      <c r="C598" s="2" t="s">
        <v>143</v>
      </c>
      <c r="D598" s="2" t="s">
        <v>144</v>
      </c>
      <c r="E598" s="6" t="n">
        <v>1000</v>
      </c>
      <c r="F598" s="7" t="n">
        <v>53</v>
      </c>
      <c r="G598" s="6" t="n">
        <v>48.87</v>
      </c>
      <c r="H598" s="6" t="n">
        <v>337</v>
      </c>
      <c r="I598" s="6" t="n">
        <v>2590.11</v>
      </c>
      <c r="J598" s="6" t="n">
        <v>2253.11</v>
      </c>
    </row>
    <row collapsed="false" customFormat="false" customHeight="false" hidden="false" ht="12.1" outlineLevel="0" r="599">
      <c r="A599" s="39" t="n">
        <v>47995</v>
      </c>
      <c r="B599" s="2" t="s">
        <v>803</v>
      </c>
      <c r="C599" s="2" t="s">
        <v>136</v>
      </c>
      <c r="D599" s="2" t="s">
        <v>138</v>
      </c>
      <c r="E599" s="6" t="n">
        <v>1000</v>
      </c>
      <c r="F599" s="7" t="n">
        <v>88</v>
      </c>
      <c r="G599" s="6" t="n">
        <v>35.4</v>
      </c>
      <c r="H599" s="6" t="n">
        <v>405</v>
      </c>
      <c r="I599" s="6" t="n">
        <v>3115.2</v>
      </c>
      <c r="J599" s="6" t="n">
        <v>2710.2</v>
      </c>
    </row>
    <row collapsed="false" customFormat="false" customHeight="false" hidden="false" ht="12.1" outlineLevel="0" r="600">
      <c r="A600" s="39" t="n">
        <v>48002</v>
      </c>
      <c r="B600" s="2" t="s">
        <v>803</v>
      </c>
      <c r="C600" s="2" t="s">
        <v>242</v>
      </c>
      <c r="D600" s="2" t="s">
        <v>243</v>
      </c>
      <c r="E600" s="6" t="n">
        <v>553.32</v>
      </c>
      <c r="F600" s="7" t="n">
        <v>1</v>
      </c>
      <c r="G600" s="6" t="n">
        <v>3.69</v>
      </c>
      <c r="H600" s="6" t="n">
        <v>0</v>
      </c>
      <c r="I600" s="6" t="n">
        <v>3.69</v>
      </c>
      <c r="J600" s="6" t="n">
        <v>3.69</v>
      </c>
    </row>
    <row collapsed="false" customFormat="false" customHeight="false" hidden="false" ht="12.1" outlineLevel="0" r="601">
      <c r="A601" s="39" t="n">
        <v>48065</v>
      </c>
      <c r="B601" s="2" t="s">
        <v>803</v>
      </c>
      <c r="C601" s="2" t="s">
        <v>140</v>
      </c>
      <c r="D601" s="2" t="s">
        <v>141</v>
      </c>
      <c r="E601" s="6" t="n">
        <v>1000</v>
      </c>
      <c r="F601" s="7" t="n">
        <v>80</v>
      </c>
      <c r="G601" s="6" t="n">
        <v>34.9</v>
      </c>
      <c r="H601" s="6" t="n">
        <v>363</v>
      </c>
      <c r="I601" s="6" t="n">
        <v>2792</v>
      </c>
      <c r="J601" s="6" t="n">
        <v>2429</v>
      </c>
    </row>
    <row collapsed="false" customFormat="false" customHeight="false" hidden="false" ht="12.1" outlineLevel="0" r="602">
      <c r="A602" s="39" t="n">
        <v>48093</v>
      </c>
      <c r="B602" s="2" t="s">
        <v>803</v>
      </c>
      <c r="C602" s="2" t="s">
        <v>242</v>
      </c>
      <c r="D602" s="2" t="s">
        <v>243</v>
      </c>
      <c r="E602" s="6" t="n">
        <v>553.32</v>
      </c>
      <c r="F602" s="7" t="n">
        <v>1</v>
      </c>
      <c r="G602" s="6" t="n">
        <v>3.13</v>
      </c>
      <c r="H602" s="6" t="n">
        <v>0</v>
      </c>
      <c r="I602" s="6" t="n">
        <v>3.13</v>
      </c>
      <c r="J602" s="6" t="n">
        <v>3.13</v>
      </c>
    </row>
    <row collapsed="false" customFormat="false" customHeight="false" hidden="false" ht="12.1" outlineLevel="0" r="603">
      <c r="A603" s="39" t="n">
        <v>48107</v>
      </c>
      <c r="B603" s="2" t="s">
        <v>803</v>
      </c>
      <c r="C603" s="2" t="s">
        <v>152</v>
      </c>
      <c r="D603" s="2" t="s">
        <v>153</v>
      </c>
      <c r="E603" s="6" t="n">
        <v>1000</v>
      </c>
      <c r="F603" s="7" t="n">
        <v>34</v>
      </c>
      <c r="G603" s="6" t="n">
        <v>59.84</v>
      </c>
      <c r="H603" s="6" t="n">
        <v>264</v>
      </c>
      <c r="I603" s="6" t="n">
        <v>2034.56</v>
      </c>
      <c r="J603" s="6" t="n">
        <v>1770.56</v>
      </c>
    </row>
    <row collapsed="false" customFormat="false" customHeight="false" hidden="false" ht="12.1" outlineLevel="0" r="604">
      <c r="A604" s="39" t="n">
        <v>48107</v>
      </c>
      <c r="B604" s="2" t="s">
        <v>803</v>
      </c>
      <c r="C604" s="2" t="s">
        <v>146</v>
      </c>
      <c r="D604" s="2" t="s">
        <v>147</v>
      </c>
      <c r="E604" s="6" t="n">
        <v>1000</v>
      </c>
      <c r="F604" s="7" t="n">
        <v>40</v>
      </c>
      <c r="G604" s="6" t="n">
        <v>56.1</v>
      </c>
      <c r="H604" s="6" t="n">
        <v>292</v>
      </c>
      <c r="I604" s="6" t="n">
        <v>2244</v>
      </c>
      <c r="J604" s="6" t="n">
        <v>1952</v>
      </c>
    </row>
    <row collapsed="false" customFormat="false" customHeight="false" hidden="false" ht="12.1" outlineLevel="0" r="605">
      <c r="A605" s="39" t="n">
        <v>48114</v>
      </c>
      <c r="B605" s="2" t="s">
        <v>803</v>
      </c>
      <c r="C605" s="2" t="s">
        <v>149</v>
      </c>
      <c r="D605" s="2" t="s">
        <v>150</v>
      </c>
      <c r="E605" s="6" t="n">
        <v>1000</v>
      </c>
      <c r="F605" s="7" t="n">
        <v>45</v>
      </c>
      <c r="G605" s="6" t="n">
        <v>38.39</v>
      </c>
      <c r="H605" s="6" t="n">
        <v>225</v>
      </c>
      <c r="I605" s="6" t="n">
        <v>1727.55</v>
      </c>
      <c r="J605" s="6" t="n">
        <v>1502.55</v>
      </c>
    </row>
    <row collapsed="false" customFormat="false" customHeight="false" hidden="false" ht="12.1" outlineLevel="0" r="606">
      <c r="A606" s="39" t="n">
        <v>48170</v>
      </c>
      <c r="B606" s="2" t="s">
        <v>803</v>
      </c>
      <c r="C606" s="2" t="s">
        <v>161</v>
      </c>
      <c r="D606" s="2" t="s">
        <v>162</v>
      </c>
      <c r="E606" s="6" t="n">
        <v>1000</v>
      </c>
      <c r="F606" s="7" t="n">
        <v>34</v>
      </c>
      <c r="G606" s="6" t="n">
        <v>47.37</v>
      </c>
      <c r="H606" s="6" t="n">
        <v>209</v>
      </c>
      <c r="I606" s="6" t="n">
        <v>1610.58</v>
      </c>
      <c r="J606" s="6" t="n">
        <v>1401.58</v>
      </c>
    </row>
    <row collapsed="false" customFormat="false" customHeight="false" hidden="false" ht="12.1" outlineLevel="0" r="607">
      <c r="A607" s="39" t="n">
        <v>48170</v>
      </c>
      <c r="B607" s="2" t="s">
        <v>803</v>
      </c>
      <c r="C607" s="2" t="s">
        <v>164</v>
      </c>
      <c r="D607" s="2" t="s">
        <v>165</v>
      </c>
      <c r="E607" s="6" t="n">
        <v>1000</v>
      </c>
      <c r="F607" s="7" t="n">
        <v>20</v>
      </c>
      <c r="G607" s="6" t="n">
        <v>61.08</v>
      </c>
      <c r="H607" s="6" t="n">
        <v>159</v>
      </c>
      <c r="I607" s="6" t="n">
        <v>1221.6</v>
      </c>
      <c r="J607" s="6" t="n">
        <v>1062.6</v>
      </c>
    </row>
    <row collapsed="false" customFormat="false" customHeight="false" hidden="false" ht="12.1" outlineLevel="0" r="608">
      <c r="A608" s="39" t="n">
        <v>48177</v>
      </c>
      <c r="B608" s="2" t="s">
        <v>803</v>
      </c>
      <c r="C608" s="2" t="s">
        <v>167</v>
      </c>
      <c r="D608" s="2" t="s">
        <v>168</v>
      </c>
      <c r="E608" s="6" t="n">
        <v>1000</v>
      </c>
      <c r="F608" s="7" t="n">
        <v>20</v>
      </c>
      <c r="G608" s="6" t="n">
        <v>61.08</v>
      </c>
      <c r="H608" s="6" t="n">
        <v>159</v>
      </c>
      <c r="I608" s="6" t="n">
        <v>1221.6</v>
      </c>
      <c r="J608" s="6" t="n">
        <v>1062.6</v>
      </c>
    </row>
    <row collapsed="false" customFormat="false" customHeight="false" hidden="false" ht="12.1" outlineLevel="0" r="609">
      <c r="A609" s="39" t="n">
        <v>48177</v>
      </c>
      <c r="B609" s="2" t="s">
        <v>803</v>
      </c>
      <c r="C609" s="2" t="s">
        <v>136</v>
      </c>
      <c r="D609" s="2" t="s">
        <v>138</v>
      </c>
      <c r="E609" s="6" t="n">
        <v>1000</v>
      </c>
      <c r="F609" s="7" t="n">
        <v>88</v>
      </c>
      <c r="G609" s="6" t="n">
        <v>35.4</v>
      </c>
      <c r="H609" s="6" t="n">
        <v>405</v>
      </c>
      <c r="I609" s="6" t="n">
        <v>3115.2</v>
      </c>
      <c r="J609" s="6" t="n">
        <v>2710.2</v>
      </c>
    </row>
    <row collapsed="false" customFormat="false" customHeight="false" hidden="false" ht="12.1" outlineLevel="0" r="610">
      <c r="A610" s="39" t="n">
        <v>48177</v>
      </c>
      <c r="B610" s="2" t="s">
        <v>803</v>
      </c>
      <c r="C610" s="2" t="s">
        <v>143</v>
      </c>
      <c r="D610" s="2" t="s">
        <v>144</v>
      </c>
      <c r="E610" s="6" t="n">
        <v>1000</v>
      </c>
      <c r="F610" s="7" t="n">
        <v>53</v>
      </c>
      <c r="G610" s="6" t="n">
        <v>48.87</v>
      </c>
      <c r="H610" s="6" t="n">
        <v>337</v>
      </c>
      <c r="I610" s="6" t="n">
        <v>2590.11</v>
      </c>
      <c r="J610" s="6" t="n">
        <v>2253.11</v>
      </c>
    </row>
    <row collapsed="false" customFormat="false" customHeight="false" hidden="false" ht="12.1" outlineLevel="0" r="611">
      <c r="A611" s="39" t="n">
        <v>48184</v>
      </c>
      <c r="B611" s="2" t="s">
        <v>803</v>
      </c>
      <c r="C611" s="2" t="s">
        <v>242</v>
      </c>
      <c r="D611" s="2" t="s">
        <v>243</v>
      </c>
      <c r="E611" s="6" t="n">
        <v>553.32</v>
      </c>
      <c r="F611" s="7" t="n">
        <v>1</v>
      </c>
      <c r="G611" s="6" t="n">
        <v>2.54</v>
      </c>
      <c r="H611" s="6" t="n">
        <v>0</v>
      </c>
      <c r="I611" s="6" t="n">
        <v>2.54</v>
      </c>
      <c r="J611" s="6" t="n">
        <v>2.54</v>
      </c>
    </row>
    <row collapsed="false" customFormat="false" customHeight="false" hidden="false" ht="12.1" outlineLevel="0" r="612">
      <c r="A612" s="39" t="n">
        <v>48247</v>
      </c>
      <c r="B612" s="2" t="s">
        <v>803</v>
      </c>
      <c r="C612" s="2" t="s">
        <v>140</v>
      </c>
      <c r="D612" s="2" t="s">
        <v>141</v>
      </c>
      <c r="E612" s="6" t="n">
        <v>1000</v>
      </c>
      <c r="F612" s="7" t="n">
        <v>80</v>
      </c>
      <c r="G612" s="6" t="n">
        <v>34.9</v>
      </c>
      <c r="H612" s="6" t="n">
        <v>363</v>
      </c>
      <c r="I612" s="6" t="n">
        <v>2792</v>
      </c>
      <c r="J612" s="6" t="n">
        <v>2429</v>
      </c>
    </row>
    <row collapsed="false" customFormat="false" customHeight="false" hidden="false" ht="12.1" outlineLevel="0" r="613">
      <c r="A613" s="39" t="n">
        <v>48275</v>
      </c>
      <c r="B613" s="2" t="s">
        <v>803</v>
      </c>
      <c r="C613" s="2" t="s">
        <v>242</v>
      </c>
      <c r="D613" s="2" t="s">
        <v>243</v>
      </c>
      <c r="E613" s="6" t="n">
        <v>553.32</v>
      </c>
      <c r="F613" s="7" t="n">
        <v>1</v>
      </c>
      <c r="G613" s="6" t="n">
        <v>1.93</v>
      </c>
      <c r="H613" s="6" t="n">
        <v>0</v>
      </c>
      <c r="I613" s="6" t="n">
        <v>1.93</v>
      </c>
      <c r="J613" s="6" t="n">
        <v>1.93</v>
      </c>
    </row>
    <row collapsed="false" customFormat="false" customHeight="false" hidden="false" ht="12.1" outlineLevel="0" r="614">
      <c r="A614" s="39" t="n">
        <v>48289</v>
      </c>
      <c r="B614" s="2" t="s">
        <v>803</v>
      </c>
      <c r="C614" s="2" t="s">
        <v>152</v>
      </c>
      <c r="D614" s="2" t="s">
        <v>153</v>
      </c>
      <c r="E614" s="6" t="n">
        <v>1000</v>
      </c>
      <c r="F614" s="7" t="n">
        <v>34</v>
      </c>
      <c r="G614" s="6" t="n">
        <v>59.84</v>
      </c>
      <c r="H614" s="6" t="n">
        <v>264</v>
      </c>
      <c r="I614" s="6" t="n">
        <v>2034.56</v>
      </c>
      <c r="J614" s="6" t="n">
        <v>1770.56</v>
      </c>
    </row>
    <row collapsed="false" customFormat="false" customHeight="false" hidden="false" ht="12.1" outlineLevel="0" r="615">
      <c r="A615" s="39" t="n">
        <v>48289</v>
      </c>
      <c r="B615" s="2" t="s">
        <v>803</v>
      </c>
      <c r="C615" s="2" t="s">
        <v>146</v>
      </c>
      <c r="D615" s="2" t="s">
        <v>147</v>
      </c>
      <c r="E615" s="6" t="n">
        <v>1000</v>
      </c>
      <c r="F615" s="7" t="n">
        <v>40</v>
      </c>
      <c r="G615" s="6" t="n">
        <v>56.1</v>
      </c>
      <c r="H615" s="6" t="n">
        <v>292</v>
      </c>
      <c r="I615" s="6" t="n">
        <v>2244</v>
      </c>
      <c r="J615" s="6" t="n">
        <v>1952</v>
      </c>
    </row>
    <row collapsed="false" customFormat="false" customHeight="false" hidden="false" ht="12.1" outlineLevel="0" r="616">
      <c r="A616" s="39" t="n">
        <v>48296</v>
      </c>
      <c r="B616" s="2" t="s">
        <v>803</v>
      </c>
      <c r="C616" s="2" t="s">
        <v>149</v>
      </c>
      <c r="D616" s="2" t="s">
        <v>150</v>
      </c>
      <c r="E616" s="6" t="n">
        <v>1000</v>
      </c>
      <c r="F616" s="7" t="n">
        <v>45</v>
      </c>
      <c r="G616" s="6" t="n">
        <v>38.39</v>
      </c>
      <c r="H616" s="6" t="n">
        <v>225</v>
      </c>
      <c r="I616" s="6" t="n">
        <v>1727.55</v>
      </c>
      <c r="J616" s="6" t="n">
        <v>1502.55</v>
      </c>
    </row>
    <row collapsed="false" customFormat="false" customHeight="false" hidden="false" ht="12.1" outlineLevel="0" r="617">
      <c r="A617" s="39" t="n">
        <v>48352</v>
      </c>
      <c r="B617" s="2" t="s">
        <v>803</v>
      </c>
      <c r="C617" s="2" t="s">
        <v>161</v>
      </c>
      <c r="D617" s="2" t="s">
        <v>162</v>
      </c>
      <c r="E617" s="6" t="n">
        <v>1000</v>
      </c>
      <c r="F617" s="7" t="n">
        <v>34</v>
      </c>
      <c r="G617" s="6" t="n">
        <v>47.37</v>
      </c>
      <c r="H617" s="6" t="n">
        <v>209</v>
      </c>
      <c r="I617" s="6" t="n">
        <v>1610.58</v>
      </c>
      <c r="J617" s="6" t="n">
        <v>1401.58</v>
      </c>
    </row>
    <row collapsed="false" customFormat="false" customHeight="false" hidden="false" ht="12.1" outlineLevel="0" r="618">
      <c r="A618" s="39" t="n">
        <v>48352</v>
      </c>
      <c r="B618" s="2" t="s">
        <v>803</v>
      </c>
      <c r="C618" s="2" t="s">
        <v>164</v>
      </c>
      <c r="D618" s="2" t="s">
        <v>165</v>
      </c>
      <c r="E618" s="6" t="n">
        <v>1000</v>
      </c>
      <c r="F618" s="7" t="n">
        <v>20</v>
      </c>
      <c r="G618" s="6" t="n">
        <v>61.08</v>
      </c>
      <c r="H618" s="6" t="n">
        <v>159</v>
      </c>
      <c r="I618" s="6" t="n">
        <v>1221.6</v>
      </c>
      <c r="J618" s="6" t="n">
        <v>1062.6</v>
      </c>
    </row>
    <row collapsed="false" customFormat="false" customHeight="false" hidden="false" ht="12.1" outlineLevel="0" r="619">
      <c r="A619" s="39" t="n">
        <v>48359</v>
      </c>
      <c r="B619" s="2" t="s">
        <v>803</v>
      </c>
      <c r="C619" s="2" t="s">
        <v>143</v>
      </c>
      <c r="D619" s="2" t="s">
        <v>144</v>
      </c>
      <c r="E619" s="6" t="n">
        <v>1000</v>
      </c>
      <c r="F619" s="7" t="n">
        <v>53</v>
      </c>
      <c r="G619" s="6" t="n">
        <v>48.87</v>
      </c>
      <c r="H619" s="6" t="n">
        <v>337</v>
      </c>
      <c r="I619" s="6" t="n">
        <v>2590.11</v>
      </c>
      <c r="J619" s="6" t="n">
        <v>2253.11</v>
      </c>
    </row>
    <row collapsed="false" customFormat="false" customHeight="false" hidden="false" ht="12.1" outlineLevel="0" r="620">
      <c r="A620" s="39" t="n">
        <v>48359</v>
      </c>
      <c r="B620" s="2" t="s">
        <v>803</v>
      </c>
      <c r="C620" s="2" t="s">
        <v>136</v>
      </c>
      <c r="D620" s="2" t="s">
        <v>138</v>
      </c>
      <c r="E620" s="6" t="n">
        <v>1000</v>
      </c>
      <c r="F620" s="7" t="n">
        <v>88</v>
      </c>
      <c r="G620" s="6" t="n">
        <v>35.4</v>
      </c>
      <c r="H620" s="6" t="n">
        <v>405</v>
      </c>
      <c r="I620" s="6" t="n">
        <v>3115.2</v>
      </c>
      <c r="J620" s="6" t="n">
        <v>2710.2</v>
      </c>
    </row>
    <row collapsed="false" customFormat="false" customHeight="false" hidden="false" ht="12.1" outlineLevel="0" r="621">
      <c r="A621" s="39" t="n">
        <v>48359</v>
      </c>
      <c r="B621" s="2" t="s">
        <v>803</v>
      </c>
      <c r="C621" s="2" t="s">
        <v>167</v>
      </c>
      <c r="D621" s="2" t="s">
        <v>168</v>
      </c>
      <c r="E621" s="6" t="n">
        <v>1000</v>
      </c>
      <c r="F621" s="7" t="n">
        <v>20</v>
      </c>
      <c r="G621" s="6" t="n">
        <v>61.08</v>
      </c>
      <c r="H621" s="6" t="n">
        <v>159</v>
      </c>
      <c r="I621" s="6" t="n">
        <v>1221.6</v>
      </c>
      <c r="J621" s="6" t="n">
        <v>1062.6</v>
      </c>
    </row>
    <row collapsed="false" customFormat="false" customHeight="false" hidden="false" ht="12.1" outlineLevel="0" r="622">
      <c r="A622" s="39" t="n">
        <v>48366</v>
      </c>
      <c r="B622" s="2" t="s">
        <v>803</v>
      </c>
      <c r="C622" s="2" t="s">
        <v>242</v>
      </c>
      <c r="D622" s="2" t="s">
        <v>243</v>
      </c>
      <c r="E622" s="6" t="n">
        <v>553.32</v>
      </c>
      <c r="F622" s="7" t="n">
        <v>1</v>
      </c>
      <c r="G622" s="6" t="n">
        <v>1.31</v>
      </c>
      <c r="H622" s="6" t="n">
        <v>0</v>
      </c>
      <c r="I622" s="6" t="n">
        <v>1.31</v>
      </c>
      <c r="J622" s="6" t="n">
        <v>1.31</v>
      </c>
    </row>
    <row collapsed="false" customFormat="false" customHeight="false" hidden="false" ht="12.1" outlineLevel="0" r="623">
      <c r="A623" s="39" t="n">
        <v>48429</v>
      </c>
      <c r="B623" s="2" t="s">
        <v>803</v>
      </c>
      <c r="C623" s="2" t="s">
        <v>140</v>
      </c>
      <c r="D623" s="2" t="s">
        <v>141</v>
      </c>
      <c r="E623" s="6" t="n">
        <v>1000</v>
      </c>
      <c r="F623" s="7" t="n">
        <v>80</v>
      </c>
      <c r="G623" s="6" t="n">
        <v>34.9</v>
      </c>
      <c r="H623" s="6" t="n">
        <v>363</v>
      </c>
      <c r="I623" s="6" t="n">
        <v>2792</v>
      </c>
      <c r="J623" s="6" t="n">
        <v>2429</v>
      </c>
    </row>
    <row collapsed="false" customFormat="false" customHeight="false" hidden="false" ht="12.1" outlineLevel="0" r="624">
      <c r="A624" s="39" t="n">
        <v>48457</v>
      </c>
      <c r="B624" s="2" t="s">
        <v>803</v>
      </c>
      <c r="C624" s="2" t="s">
        <v>242</v>
      </c>
      <c r="D624" s="2" t="s">
        <v>243</v>
      </c>
      <c r="E624" s="6" t="n">
        <v>553.32</v>
      </c>
      <c r="F624" s="7" t="n">
        <v>1</v>
      </c>
      <c r="G624" s="6" t="n">
        <v>0.67</v>
      </c>
      <c r="H624" s="6" t="n">
        <v>0</v>
      </c>
      <c r="I624" s="6" t="n">
        <v>0.67</v>
      </c>
      <c r="J624" s="6" t="n">
        <v>0.67</v>
      </c>
    </row>
    <row collapsed="false" customFormat="false" customHeight="false" hidden="false" ht="12.1" outlineLevel="0" r="625">
      <c r="A625" s="39" t="n">
        <v>48471</v>
      </c>
      <c r="B625" s="2" t="s">
        <v>803</v>
      </c>
      <c r="C625" s="2" t="s">
        <v>146</v>
      </c>
      <c r="D625" s="2" t="s">
        <v>147</v>
      </c>
      <c r="E625" s="6" t="n">
        <v>1000</v>
      </c>
      <c r="F625" s="7" t="n">
        <v>40</v>
      </c>
      <c r="G625" s="6" t="n">
        <v>56.1</v>
      </c>
      <c r="H625" s="6" t="n">
        <v>292</v>
      </c>
      <c r="I625" s="6" t="n">
        <v>2244</v>
      </c>
      <c r="J625" s="6" t="n">
        <v>1952</v>
      </c>
    </row>
    <row collapsed="false" customFormat="false" customHeight="false" hidden="false" ht="12.1" outlineLevel="0" r="626">
      <c r="A626" s="39" t="n">
        <v>48471</v>
      </c>
      <c r="B626" s="2" t="s">
        <v>803</v>
      </c>
      <c r="C626" s="2" t="s">
        <v>152</v>
      </c>
      <c r="D626" s="2" t="s">
        <v>153</v>
      </c>
      <c r="E626" s="6" t="n">
        <v>1000</v>
      </c>
      <c r="F626" s="7" t="n">
        <v>34</v>
      </c>
      <c r="G626" s="6" t="n">
        <v>59.84</v>
      </c>
      <c r="H626" s="6" t="n">
        <v>264</v>
      </c>
      <c r="I626" s="6" t="n">
        <v>2034.56</v>
      </c>
      <c r="J626" s="6" t="n">
        <v>1770.56</v>
      </c>
    </row>
    <row collapsed="false" customFormat="false" customHeight="false" hidden="false" ht="12.1" outlineLevel="0" r="627">
      <c r="A627" s="39" t="n">
        <v>48478</v>
      </c>
      <c r="B627" s="2" t="s">
        <v>803</v>
      </c>
      <c r="C627" s="2" t="s">
        <v>149</v>
      </c>
      <c r="D627" s="2" t="s">
        <v>150</v>
      </c>
      <c r="E627" s="6" t="n">
        <v>1000</v>
      </c>
      <c r="F627" s="7" t="n">
        <v>45</v>
      </c>
      <c r="G627" s="6" t="n">
        <v>38.39</v>
      </c>
      <c r="H627" s="6" t="n">
        <v>225</v>
      </c>
      <c r="I627" s="6" t="n">
        <v>1727.55</v>
      </c>
      <c r="J627" s="6" t="n">
        <v>1502.55</v>
      </c>
    </row>
    <row collapsed="false" customFormat="false" customHeight="false" hidden="false" ht="12.1" outlineLevel="0" r="628">
      <c r="A628" s="39" t="n">
        <v>48534</v>
      </c>
      <c r="B628" s="2" t="s">
        <v>803</v>
      </c>
      <c r="C628" s="2" t="s">
        <v>161</v>
      </c>
      <c r="D628" s="2" t="s">
        <v>162</v>
      </c>
      <c r="E628" s="6" t="n">
        <v>1000</v>
      </c>
      <c r="F628" s="7" t="n">
        <v>34</v>
      </c>
      <c r="G628" s="6" t="n">
        <v>47.37</v>
      </c>
      <c r="H628" s="6" t="n">
        <v>209</v>
      </c>
      <c r="I628" s="6" t="n">
        <v>1610.58</v>
      </c>
      <c r="J628" s="6" t="n">
        <v>1401.58</v>
      </c>
    </row>
    <row collapsed="false" customFormat="false" customHeight="false" hidden="false" ht="12.1" outlineLevel="0" r="629">
      <c r="A629" s="39" t="n">
        <v>48534</v>
      </c>
      <c r="B629" s="2" t="s">
        <v>803</v>
      </c>
      <c r="C629" s="2" t="s">
        <v>164</v>
      </c>
      <c r="D629" s="2" t="s">
        <v>165</v>
      </c>
      <c r="E629" s="6" t="n">
        <v>1000</v>
      </c>
      <c r="F629" s="7" t="n">
        <v>20</v>
      </c>
      <c r="G629" s="6" t="n">
        <v>61.08</v>
      </c>
      <c r="H629" s="6" t="n">
        <v>159</v>
      </c>
      <c r="I629" s="6" t="n">
        <v>1221.6</v>
      </c>
      <c r="J629" s="6" t="n">
        <v>1062.6</v>
      </c>
    </row>
    <row collapsed="false" customFormat="false" customHeight="false" hidden="false" ht="12.1" outlineLevel="0" r="630">
      <c r="A630" s="39" t="n">
        <v>48541</v>
      </c>
      <c r="B630" s="2" t="s">
        <v>803</v>
      </c>
      <c r="C630" s="2" t="s">
        <v>136</v>
      </c>
      <c r="D630" s="2" t="s">
        <v>138</v>
      </c>
      <c r="E630" s="6" t="n">
        <v>1000</v>
      </c>
      <c r="F630" s="7" t="n">
        <v>88</v>
      </c>
      <c r="G630" s="6" t="n">
        <v>35.4</v>
      </c>
      <c r="H630" s="6" t="n">
        <v>405</v>
      </c>
      <c r="I630" s="6" t="n">
        <v>3115.2</v>
      </c>
      <c r="J630" s="6" t="n">
        <v>2710.2</v>
      </c>
    </row>
    <row collapsed="false" customFormat="false" customHeight="false" hidden="false" ht="12.1" outlineLevel="0" r="631">
      <c r="A631" s="39" t="n">
        <v>48541</v>
      </c>
      <c r="B631" s="2" t="s">
        <v>803</v>
      </c>
      <c r="C631" s="2" t="s">
        <v>143</v>
      </c>
      <c r="D631" s="2" t="s">
        <v>144</v>
      </c>
      <c r="E631" s="6" t="n">
        <v>1000</v>
      </c>
      <c r="F631" s="7" t="n">
        <v>53</v>
      </c>
      <c r="G631" s="6" t="n">
        <v>48.87</v>
      </c>
      <c r="H631" s="6" t="n">
        <v>337</v>
      </c>
      <c r="I631" s="6" t="n">
        <v>2590.11</v>
      </c>
      <c r="J631" s="6" t="n">
        <v>2253.11</v>
      </c>
    </row>
    <row collapsed="false" customFormat="false" customHeight="false" hidden="false" ht="12.1" outlineLevel="0" r="632">
      <c r="A632" s="39" t="n">
        <v>48541</v>
      </c>
      <c r="B632" s="2" t="s">
        <v>803</v>
      </c>
      <c r="C632" s="2" t="s">
        <v>167</v>
      </c>
      <c r="D632" s="2" t="s">
        <v>168</v>
      </c>
      <c r="E632" s="6" t="n">
        <v>1000</v>
      </c>
      <c r="F632" s="7" t="n">
        <v>20</v>
      </c>
      <c r="G632" s="6" t="n">
        <v>61.08</v>
      </c>
      <c r="H632" s="6" t="n">
        <v>159</v>
      </c>
      <c r="I632" s="6" t="n">
        <v>1221.6</v>
      </c>
      <c r="J632" s="6" t="n">
        <v>1062.6</v>
      </c>
    </row>
    <row collapsed="false" customFormat="false" customHeight="false" hidden="false" ht="12.1" outlineLevel="0" r="633">
      <c r="A633" s="39" t="n">
        <v>48611</v>
      </c>
      <c r="B633" s="2" t="s">
        <v>803</v>
      </c>
      <c r="C633" s="2" t="s">
        <v>140</v>
      </c>
      <c r="D633" s="2" t="s">
        <v>141</v>
      </c>
      <c r="E633" s="6" t="n">
        <v>1000</v>
      </c>
      <c r="F633" s="7" t="n">
        <v>80</v>
      </c>
      <c r="G633" s="6" t="n">
        <v>34.9</v>
      </c>
      <c r="H633" s="6" t="n">
        <v>363</v>
      </c>
      <c r="I633" s="6" t="n">
        <v>2792</v>
      </c>
      <c r="J633" s="6" t="n">
        <v>2429</v>
      </c>
    </row>
    <row collapsed="false" customFormat="false" customHeight="false" hidden="false" ht="12.1" outlineLevel="0" r="634">
      <c r="A634" s="39" t="n">
        <v>48653</v>
      </c>
      <c r="B634" s="2" t="s">
        <v>803</v>
      </c>
      <c r="C634" s="2" t="s">
        <v>146</v>
      </c>
      <c r="D634" s="2" t="s">
        <v>147</v>
      </c>
      <c r="E634" s="6" t="n">
        <v>1000</v>
      </c>
      <c r="F634" s="7" t="n">
        <v>40</v>
      </c>
      <c r="G634" s="6" t="n">
        <v>56.1</v>
      </c>
      <c r="H634" s="6" t="n">
        <v>292</v>
      </c>
      <c r="I634" s="6" t="n">
        <v>2244</v>
      </c>
      <c r="J634" s="6" t="n">
        <v>1952</v>
      </c>
    </row>
    <row collapsed="false" customFormat="false" customHeight="false" hidden="false" ht="12.1" outlineLevel="0" r="635">
      <c r="A635" s="39" t="n">
        <v>48653</v>
      </c>
      <c r="B635" s="2" t="s">
        <v>803</v>
      </c>
      <c r="C635" s="2" t="s">
        <v>152</v>
      </c>
      <c r="D635" s="2" t="s">
        <v>153</v>
      </c>
      <c r="E635" s="6" t="n">
        <v>1000</v>
      </c>
      <c r="F635" s="7" t="n">
        <v>34</v>
      </c>
      <c r="G635" s="6" t="n">
        <v>59.84</v>
      </c>
      <c r="H635" s="6" t="n">
        <v>264</v>
      </c>
      <c r="I635" s="6" t="n">
        <v>2034.56</v>
      </c>
      <c r="J635" s="6" t="n">
        <v>1770.56</v>
      </c>
    </row>
    <row collapsed="false" customFormat="false" customHeight="false" hidden="false" ht="12.1" outlineLevel="0" r="636">
      <c r="A636" s="39" t="n">
        <v>48660</v>
      </c>
      <c r="B636" s="2" t="s">
        <v>803</v>
      </c>
      <c r="C636" s="2" t="s">
        <v>149</v>
      </c>
      <c r="D636" s="2" t="s">
        <v>150</v>
      </c>
      <c r="E636" s="6" t="n">
        <v>1000</v>
      </c>
      <c r="F636" s="7" t="n">
        <v>45</v>
      </c>
      <c r="G636" s="6" t="n">
        <v>38.39</v>
      </c>
      <c r="H636" s="6" t="n">
        <v>225</v>
      </c>
      <c r="I636" s="6" t="n">
        <v>1727.55</v>
      </c>
      <c r="J636" s="6" t="n">
        <v>1502.55</v>
      </c>
    </row>
    <row collapsed="false" customFormat="false" customHeight="false" hidden="false" ht="12.1" outlineLevel="0" r="637">
      <c r="A637" s="39" t="n">
        <v>48716</v>
      </c>
      <c r="B637" s="2" t="s">
        <v>803</v>
      </c>
      <c r="C637" s="2" t="s">
        <v>164</v>
      </c>
      <c r="D637" s="2" t="s">
        <v>165</v>
      </c>
      <c r="E637" s="6" t="n">
        <v>1000</v>
      </c>
      <c r="F637" s="7" t="n">
        <v>20</v>
      </c>
      <c r="G637" s="6" t="n">
        <v>61.08</v>
      </c>
      <c r="H637" s="6" t="n">
        <v>159</v>
      </c>
      <c r="I637" s="6" t="n">
        <v>1221.6</v>
      </c>
      <c r="J637" s="6" t="n">
        <v>1062.6</v>
      </c>
    </row>
    <row collapsed="false" customFormat="false" customHeight="false" hidden="false" ht="12.1" outlineLevel="0" r="638">
      <c r="A638" s="39" t="n">
        <v>48723</v>
      </c>
      <c r="B638" s="2" t="s">
        <v>803</v>
      </c>
      <c r="C638" s="2" t="s">
        <v>143</v>
      </c>
      <c r="D638" s="2" t="s">
        <v>144</v>
      </c>
      <c r="E638" s="6" t="n">
        <v>1000</v>
      </c>
      <c r="F638" s="7" t="n">
        <v>53</v>
      </c>
      <c r="G638" s="6" t="n">
        <v>48.87</v>
      </c>
      <c r="H638" s="6" t="n">
        <v>337</v>
      </c>
      <c r="I638" s="6" t="n">
        <v>2590.11</v>
      </c>
      <c r="J638" s="6" t="n">
        <v>2253.11</v>
      </c>
    </row>
    <row collapsed="false" customFormat="false" customHeight="false" hidden="false" ht="12.1" outlineLevel="0" r="639">
      <c r="A639" s="39" t="n">
        <v>48723</v>
      </c>
      <c r="B639" s="2" t="s">
        <v>803</v>
      </c>
      <c r="C639" s="2" t="s">
        <v>167</v>
      </c>
      <c r="D639" s="2" t="s">
        <v>168</v>
      </c>
      <c r="E639" s="6" t="n">
        <v>1000</v>
      </c>
      <c r="F639" s="7" t="n">
        <v>20</v>
      </c>
      <c r="G639" s="6" t="n">
        <v>61.08</v>
      </c>
      <c r="H639" s="6" t="n">
        <v>159</v>
      </c>
      <c r="I639" s="6" t="n">
        <v>1221.6</v>
      </c>
      <c r="J639" s="6" t="n">
        <v>1062.6</v>
      </c>
    </row>
    <row collapsed="false" customFormat="false" customHeight="false" hidden="false" ht="12.1" outlineLevel="0" r="640">
      <c r="A640" s="39" t="n">
        <v>48723</v>
      </c>
      <c r="B640" s="2" t="s">
        <v>803</v>
      </c>
      <c r="C640" s="2" t="s">
        <v>136</v>
      </c>
      <c r="D640" s="2" t="s">
        <v>138</v>
      </c>
      <c r="E640" s="6" t="n">
        <v>1000</v>
      </c>
      <c r="F640" s="7" t="n">
        <v>88</v>
      </c>
      <c r="G640" s="6" t="n">
        <v>35.4</v>
      </c>
      <c r="H640" s="6" t="n">
        <v>405</v>
      </c>
      <c r="I640" s="6" t="n">
        <v>3115.2</v>
      </c>
      <c r="J640" s="6" t="n">
        <v>2710.2</v>
      </c>
    </row>
    <row collapsed="false" customFormat="false" customHeight="false" hidden="false" ht="12.1" outlineLevel="0" r="641">
      <c r="A641" s="39" t="n">
        <v>48793</v>
      </c>
      <c r="B641" s="2" t="s">
        <v>803</v>
      </c>
      <c r="C641" s="2" t="s">
        <v>140</v>
      </c>
      <c r="D641" s="2" t="s">
        <v>141</v>
      </c>
      <c r="E641" s="6" t="n">
        <v>1000</v>
      </c>
      <c r="F641" s="7" t="n">
        <v>80</v>
      </c>
      <c r="G641" s="6" t="n">
        <v>34.9</v>
      </c>
      <c r="H641" s="6" t="n">
        <v>363</v>
      </c>
      <c r="I641" s="6" t="n">
        <v>2792</v>
      </c>
      <c r="J641" s="6" t="n">
        <v>2429</v>
      </c>
    </row>
    <row collapsed="false" customFormat="false" customHeight="false" hidden="false" ht="12.1" outlineLevel="0" r="642">
      <c r="A642" s="39" t="n">
        <v>48835</v>
      </c>
      <c r="B642" s="2" t="s">
        <v>803</v>
      </c>
      <c r="C642" s="2" t="s">
        <v>152</v>
      </c>
      <c r="D642" s="2" t="s">
        <v>153</v>
      </c>
      <c r="E642" s="6" t="n">
        <v>1000</v>
      </c>
      <c r="F642" s="7" t="n">
        <v>34</v>
      </c>
      <c r="G642" s="6" t="n">
        <v>59.84</v>
      </c>
      <c r="H642" s="6" t="n">
        <v>264</v>
      </c>
      <c r="I642" s="6" t="n">
        <v>2034.56</v>
      </c>
      <c r="J642" s="6" t="n">
        <v>1770.56</v>
      </c>
    </row>
    <row collapsed="false" customFormat="false" customHeight="false" hidden="false" ht="12.1" outlineLevel="0" r="643">
      <c r="A643" s="39" t="n">
        <v>48835</v>
      </c>
      <c r="B643" s="2" t="s">
        <v>803</v>
      </c>
      <c r="C643" s="2" t="s">
        <v>146</v>
      </c>
      <c r="D643" s="2" t="s">
        <v>147</v>
      </c>
      <c r="E643" s="6" t="n">
        <v>1000</v>
      </c>
      <c r="F643" s="7" t="n">
        <v>40</v>
      </c>
      <c r="G643" s="6" t="n">
        <v>56.1</v>
      </c>
      <c r="H643" s="6" t="n">
        <v>292</v>
      </c>
      <c r="I643" s="6" t="n">
        <v>2244</v>
      </c>
      <c r="J643" s="6" t="n">
        <v>1952</v>
      </c>
    </row>
    <row collapsed="false" customFormat="false" customHeight="false" hidden="false" ht="12.1" outlineLevel="0" r="644">
      <c r="A644" s="39" t="n">
        <v>48898</v>
      </c>
      <c r="B644" s="2" t="s">
        <v>803</v>
      </c>
      <c r="C644" s="2" t="s">
        <v>164</v>
      </c>
      <c r="D644" s="2" t="s">
        <v>165</v>
      </c>
      <c r="E644" s="6" t="n">
        <v>1000</v>
      </c>
      <c r="F644" s="7" t="n">
        <v>20</v>
      </c>
      <c r="G644" s="6" t="n">
        <v>61.08</v>
      </c>
      <c r="H644" s="6" t="n">
        <v>159</v>
      </c>
      <c r="I644" s="6" t="n">
        <v>1221.6</v>
      </c>
      <c r="J644" s="6" t="n">
        <v>1062.6</v>
      </c>
    </row>
    <row collapsed="false" customFormat="false" customHeight="false" hidden="false" ht="12.1" outlineLevel="0" r="645">
      <c r="A645" s="39" t="n">
        <v>48905</v>
      </c>
      <c r="B645" s="2" t="s">
        <v>803</v>
      </c>
      <c r="C645" s="2" t="s">
        <v>136</v>
      </c>
      <c r="D645" s="2" t="s">
        <v>138</v>
      </c>
      <c r="E645" s="6" t="n">
        <v>1000</v>
      </c>
      <c r="F645" s="7" t="n">
        <v>88</v>
      </c>
      <c r="G645" s="6" t="n">
        <v>35.4</v>
      </c>
      <c r="H645" s="6" t="n">
        <v>405</v>
      </c>
      <c r="I645" s="6" t="n">
        <v>3115.2</v>
      </c>
      <c r="J645" s="6" t="n">
        <v>2710.2</v>
      </c>
    </row>
    <row collapsed="false" customFormat="false" customHeight="false" hidden="false" ht="12.1" outlineLevel="0" r="646">
      <c r="A646" s="39" t="n">
        <v>48905</v>
      </c>
      <c r="B646" s="2" t="s">
        <v>803</v>
      </c>
      <c r="C646" s="2" t="s">
        <v>167</v>
      </c>
      <c r="D646" s="2" t="s">
        <v>168</v>
      </c>
      <c r="E646" s="6" t="n">
        <v>1000</v>
      </c>
      <c r="F646" s="7" t="n">
        <v>20</v>
      </c>
      <c r="G646" s="6" t="n">
        <v>61.08</v>
      </c>
      <c r="H646" s="6" t="n">
        <v>159</v>
      </c>
      <c r="I646" s="6" t="n">
        <v>1221.6</v>
      </c>
      <c r="J646" s="6" t="n">
        <v>1062.6</v>
      </c>
    </row>
    <row collapsed="false" customFormat="false" customHeight="false" hidden="false" ht="12.1" outlineLevel="0" r="647">
      <c r="A647" s="39" t="n">
        <v>48905</v>
      </c>
      <c r="B647" s="2" t="s">
        <v>803</v>
      </c>
      <c r="C647" s="2" t="s">
        <v>143</v>
      </c>
      <c r="D647" s="2" t="s">
        <v>144</v>
      </c>
      <c r="E647" s="6" t="n">
        <v>1000</v>
      </c>
      <c r="F647" s="7" t="n">
        <v>53</v>
      </c>
      <c r="G647" s="6" t="n">
        <v>48.87</v>
      </c>
      <c r="H647" s="6" t="n">
        <v>337</v>
      </c>
      <c r="I647" s="6" t="n">
        <v>2590.11</v>
      </c>
      <c r="J647" s="6" t="n">
        <v>2253.11</v>
      </c>
    </row>
    <row collapsed="false" customFormat="false" customHeight="false" hidden="false" ht="12.1" outlineLevel="0" r="648">
      <c r="A648" s="39" t="n">
        <v>48975</v>
      </c>
      <c r="B648" s="2" t="s">
        <v>803</v>
      </c>
      <c r="C648" s="2" t="s">
        <v>140</v>
      </c>
      <c r="D648" s="2" t="s">
        <v>141</v>
      </c>
      <c r="E648" s="6" t="n">
        <v>1000</v>
      </c>
      <c r="F648" s="7" t="n">
        <v>80</v>
      </c>
      <c r="G648" s="6" t="n">
        <v>34.9</v>
      </c>
      <c r="H648" s="6" t="n">
        <v>363</v>
      </c>
      <c r="I648" s="6" t="n">
        <v>2792</v>
      </c>
      <c r="J648" s="6" t="n">
        <v>2429</v>
      </c>
    </row>
    <row collapsed="false" customFormat="false" customHeight="false" hidden="false" ht="12.1" outlineLevel="0" r="649">
      <c r="A649" s="39" t="n">
        <v>49017</v>
      </c>
      <c r="B649" s="2" t="s">
        <v>803</v>
      </c>
      <c r="C649" s="2" t="s">
        <v>152</v>
      </c>
      <c r="D649" s="2" t="s">
        <v>153</v>
      </c>
      <c r="E649" s="6" t="n">
        <v>1000</v>
      </c>
      <c r="F649" s="7" t="n">
        <v>34</v>
      </c>
      <c r="G649" s="6" t="n">
        <v>59.84</v>
      </c>
      <c r="H649" s="6" t="n">
        <v>264</v>
      </c>
      <c r="I649" s="6" t="n">
        <v>2034.56</v>
      </c>
      <c r="J649" s="6" t="n">
        <v>1770.56</v>
      </c>
    </row>
    <row collapsed="false" customFormat="false" customHeight="false" hidden="false" ht="12.1" outlineLevel="0" r="650">
      <c r="A650" s="39" t="n">
        <v>49017</v>
      </c>
      <c r="B650" s="2" t="s">
        <v>803</v>
      </c>
      <c r="C650" s="2" t="s">
        <v>146</v>
      </c>
      <c r="D650" s="2" t="s">
        <v>147</v>
      </c>
      <c r="E650" s="6" t="n">
        <v>1000</v>
      </c>
      <c r="F650" s="7" t="n">
        <v>40</v>
      </c>
      <c r="G650" s="6" t="n">
        <v>56.1</v>
      </c>
      <c r="H650" s="6" t="n">
        <v>292</v>
      </c>
      <c r="I650" s="6" t="n">
        <v>2244</v>
      </c>
      <c r="J650" s="6" t="n">
        <v>1952</v>
      </c>
    </row>
    <row collapsed="false" customFormat="false" customHeight="false" hidden="false" ht="12.1" outlineLevel="0" r="651">
      <c r="A651" s="39" t="n">
        <v>49080</v>
      </c>
      <c r="B651" s="2" t="s">
        <v>803</v>
      </c>
      <c r="C651" s="2" t="s">
        <v>164</v>
      </c>
      <c r="D651" s="2" t="s">
        <v>165</v>
      </c>
      <c r="E651" s="6" t="n">
        <v>1000</v>
      </c>
      <c r="F651" s="7" t="n">
        <v>20</v>
      </c>
      <c r="G651" s="6" t="n">
        <v>61.08</v>
      </c>
      <c r="H651" s="6" t="n">
        <v>159</v>
      </c>
      <c r="I651" s="6" t="n">
        <v>1221.6</v>
      </c>
      <c r="J651" s="6" t="n">
        <v>1062.6</v>
      </c>
    </row>
    <row collapsed="false" customFormat="false" customHeight="false" hidden="false" ht="12.1" outlineLevel="0" r="652">
      <c r="A652" s="39" t="n">
        <v>49087</v>
      </c>
      <c r="B652" s="2" t="s">
        <v>803</v>
      </c>
      <c r="C652" s="2" t="s">
        <v>136</v>
      </c>
      <c r="D652" s="2" t="s">
        <v>138</v>
      </c>
      <c r="E652" s="6" t="n">
        <v>1000</v>
      </c>
      <c r="F652" s="7" t="n">
        <v>88</v>
      </c>
      <c r="G652" s="6" t="n">
        <v>35.4</v>
      </c>
      <c r="H652" s="6" t="n">
        <v>405</v>
      </c>
      <c r="I652" s="6" t="n">
        <v>3115.2</v>
      </c>
      <c r="J652" s="6" t="n">
        <v>2710.2</v>
      </c>
    </row>
    <row collapsed="false" customFormat="false" customHeight="false" hidden="false" ht="12.1" outlineLevel="0" r="653">
      <c r="A653" s="39" t="n">
        <v>49087</v>
      </c>
      <c r="B653" s="2" t="s">
        <v>803</v>
      </c>
      <c r="C653" s="2" t="s">
        <v>143</v>
      </c>
      <c r="D653" s="2" t="s">
        <v>144</v>
      </c>
      <c r="E653" s="6" t="n">
        <v>1000</v>
      </c>
      <c r="F653" s="7" t="n">
        <v>53</v>
      </c>
      <c r="G653" s="6" t="n">
        <v>48.87</v>
      </c>
      <c r="H653" s="6" t="n">
        <v>337</v>
      </c>
      <c r="I653" s="6" t="n">
        <v>2590.11</v>
      </c>
      <c r="J653" s="6" t="n">
        <v>2253.11</v>
      </c>
    </row>
    <row collapsed="false" customFormat="false" customHeight="false" hidden="false" ht="12.1" outlineLevel="0" r="654">
      <c r="A654" s="39" t="n">
        <v>49087</v>
      </c>
      <c r="B654" s="2" t="s">
        <v>803</v>
      </c>
      <c r="C654" s="2" t="s">
        <v>167</v>
      </c>
      <c r="D654" s="2" t="s">
        <v>168</v>
      </c>
      <c r="E654" s="6" t="n">
        <v>1000</v>
      </c>
      <c r="F654" s="7" t="n">
        <v>20</v>
      </c>
      <c r="G654" s="6" t="n">
        <v>61.08</v>
      </c>
      <c r="H654" s="6" t="n">
        <v>159</v>
      </c>
      <c r="I654" s="6" t="n">
        <v>1221.6</v>
      </c>
      <c r="J654" s="6" t="n">
        <v>1062.6</v>
      </c>
    </row>
    <row collapsed="false" customFormat="false" customHeight="false" hidden="false" ht="12.1" outlineLevel="0" r="655">
      <c r="A655" s="39" t="n">
        <v>49157</v>
      </c>
      <c r="B655" s="2" t="s">
        <v>803</v>
      </c>
      <c r="C655" s="2" t="s">
        <v>140</v>
      </c>
      <c r="D655" s="2" t="s">
        <v>141</v>
      </c>
      <c r="E655" s="6" t="n">
        <v>1000</v>
      </c>
      <c r="F655" s="7" t="n">
        <v>80</v>
      </c>
      <c r="G655" s="6" t="n">
        <v>34.9</v>
      </c>
      <c r="H655" s="6" t="n">
        <v>363</v>
      </c>
      <c r="I655" s="6" t="n">
        <v>2792</v>
      </c>
      <c r="J655" s="6" t="n">
        <v>2429</v>
      </c>
    </row>
    <row collapsed="false" customFormat="false" customHeight="false" hidden="false" ht="12.1" outlineLevel="0" r="656">
      <c r="A656" s="39" t="n">
        <v>49199</v>
      </c>
      <c r="B656" s="2" t="s">
        <v>803</v>
      </c>
      <c r="C656" s="2" t="s">
        <v>152</v>
      </c>
      <c r="D656" s="2" t="s">
        <v>153</v>
      </c>
      <c r="E656" s="6" t="n">
        <v>1000</v>
      </c>
      <c r="F656" s="7" t="n">
        <v>34</v>
      </c>
      <c r="G656" s="6" t="n">
        <v>59.84</v>
      </c>
      <c r="H656" s="6" t="n">
        <v>264</v>
      </c>
      <c r="I656" s="6" t="n">
        <v>2034.56</v>
      </c>
      <c r="J656" s="6" t="n">
        <v>1770.56</v>
      </c>
    </row>
    <row collapsed="false" customFormat="false" customHeight="false" hidden="false" ht="12.1" outlineLevel="0" r="657">
      <c r="A657" s="39" t="n">
        <v>49262</v>
      </c>
      <c r="B657" s="2" t="s">
        <v>803</v>
      </c>
      <c r="C657" s="2" t="s">
        <v>164</v>
      </c>
      <c r="D657" s="2" t="s">
        <v>165</v>
      </c>
      <c r="E657" s="6" t="n">
        <v>1000</v>
      </c>
      <c r="F657" s="7" t="n">
        <v>20</v>
      </c>
      <c r="G657" s="6" t="n">
        <v>61.08</v>
      </c>
      <c r="H657" s="6" t="n">
        <v>159</v>
      </c>
      <c r="I657" s="6" t="n">
        <v>1221.6</v>
      </c>
      <c r="J657" s="6" t="n">
        <v>1062.6</v>
      </c>
    </row>
    <row collapsed="false" customFormat="false" customHeight="false" hidden="false" ht="12.1" outlineLevel="0" r="658">
      <c r="A658" s="39" t="n">
        <v>49269</v>
      </c>
      <c r="B658" s="2" t="s">
        <v>803</v>
      </c>
      <c r="C658" s="2" t="s">
        <v>143</v>
      </c>
      <c r="D658" s="2" t="s">
        <v>144</v>
      </c>
      <c r="E658" s="6" t="n">
        <v>1000</v>
      </c>
      <c r="F658" s="7" t="n">
        <v>53</v>
      </c>
      <c r="G658" s="6" t="n">
        <v>48.87</v>
      </c>
      <c r="H658" s="6" t="n">
        <v>337</v>
      </c>
      <c r="I658" s="6" t="n">
        <v>2590.11</v>
      </c>
      <c r="J658" s="6" t="n">
        <v>2253.11</v>
      </c>
    </row>
    <row collapsed="false" customFormat="false" customHeight="false" hidden="false" ht="12.1" outlineLevel="0" r="659">
      <c r="A659" s="39" t="n">
        <v>49269</v>
      </c>
      <c r="B659" s="2" t="s">
        <v>803</v>
      </c>
      <c r="C659" s="2" t="s">
        <v>167</v>
      </c>
      <c r="D659" s="2" t="s">
        <v>168</v>
      </c>
      <c r="E659" s="6" t="n">
        <v>1000</v>
      </c>
      <c r="F659" s="7" t="n">
        <v>20</v>
      </c>
      <c r="G659" s="6" t="n">
        <v>61.08</v>
      </c>
      <c r="H659" s="6" t="n">
        <v>159</v>
      </c>
      <c r="I659" s="6" t="n">
        <v>1221.6</v>
      </c>
      <c r="J659" s="6" t="n">
        <v>1062.6</v>
      </c>
    </row>
    <row collapsed="false" customFormat="false" customHeight="false" hidden="false" ht="12.1" outlineLevel="0" r="660">
      <c r="A660" s="39" t="n">
        <v>49269</v>
      </c>
      <c r="B660" s="2" t="s">
        <v>803</v>
      </c>
      <c r="C660" s="2" t="s">
        <v>136</v>
      </c>
      <c r="D660" s="2" t="s">
        <v>138</v>
      </c>
      <c r="E660" s="6" t="n">
        <v>1000</v>
      </c>
      <c r="F660" s="7" t="n">
        <v>88</v>
      </c>
      <c r="G660" s="6" t="n">
        <v>35.4</v>
      </c>
      <c r="H660" s="6" t="n">
        <v>405</v>
      </c>
      <c r="I660" s="6" t="n">
        <v>3115.2</v>
      </c>
      <c r="J660" s="6" t="n">
        <v>2710.2</v>
      </c>
    </row>
    <row collapsed="false" customFormat="false" customHeight="false" hidden="false" ht="12.1" outlineLevel="0" r="661">
      <c r="A661" s="39" t="n">
        <v>49339</v>
      </c>
      <c r="B661" s="2" t="s">
        <v>803</v>
      </c>
      <c r="C661" s="2" t="s">
        <v>140</v>
      </c>
      <c r="D661" s="2" t="s">
        <v>141</v>
      </c>
      <c r="E661" s="6" t="n">
        <v>1000</v>
      </c>
      <c r="F661" s="7" t="n">
        <v>80</v>
      </c>
      <c r="G661" s="6" t="n">
        <v>34.9</v>
      </c>
      <c r="H661" s="6" t="n">
        <v>363</v>
      </c>
      <c r="I661" s="6" t="n">
        <v>2792</v>
      </c>
      <c r="J661" s="6" t="n">
        <v>2429</v>
      </c>
    </row>
    <row collapsed="false" customFormat="false" customHeight="false" hidden="false" ht="12.1" outlineLevel="0" r="662">
      <c r="A662" s="39" t="n">
        <v>49381</v>
      </c>
      <c r="B662" s="2" t="s">
        <v>803</v>
      </c>
      <c r="C662" s="2" t="s">
        <v>152</v>
      </c>
      <c r="D662" s="2" t="s">
        <v>153</v>
      </c>
      <c r="E662" s="6" t="n">
        <v>1000</v>
      </c>
      <c r="F662" s="7" t="n">
        <v>34</v>
      </c>
      <c r="G662" s="6" t="n">
        <v>59.84</v>
      </c>
      <c r="H662" s="6" t="n">
        <v>264</v>
      </c>
      <c r="I662" s="6" t="n">
        <v>2034.56</v>
      </c>
      <c r="J662" s="6" t="n">
        <v>1770.56</v>
      </c>
    </row>
    <row collapsed="false" customFormat="false" customHeight="false" hidden="false" ht="12.1" outlineLevel="0" r="663">
      <c r="A663" s="39" t="n">
        <v>49444</v>
      </c>
      <c r="B663" s="2" t="s">
        <v>803</v>
      </c>
      <c r="C663" s="2" t="s">
        <v>164</v>
      </c>
      <c r="D663" s="2" t="s">
        <v>165</v>
      </c>
      <c r="E663" s="6" t="n">
        <v>1000</v>
      </c>
      <c r="F663" s="7" t="n">
        <v>20</v>
      </c>
      <c r="G663" s="6" t="n">
        <v>61.08</v>
      </c>
      <c r="H663" s="6" t="n">
        <v>159</v>
      </c>
      <c r="I663" s="6" t="n">
        <v>1221.6</v>
      </c>
      <c r="J663" s="6" t="n">
        <v>1062.6</v>
      </c>
    </row>
    <row collapsed="false" customFormat="false" customHeight="false" hidden="false" ht="12.1" outlineLevel="0" r="664">
      <c r="A664" s="39" t="n">
        <v>49451</v>
      </c>
      <c r="B664" s="2" t="s">
        <v>803</v>
      </c>
      <c r="C664" s="2" t="s">
        <v>136</v>
      </c>
      <c r="D664" s="2" t="s">
        <v>138</v>
      </c>
      <c r="E664" s="6" t="n">
        <v>1000</v>
      </c>
      <c r="F664" s="7" t="n">
        <v>88</v>
      </c>
      <c r="G664" s="6" t="n">
        <v>35.4</v>
      </c>
      <c r="H664" s="6" t="n">
        <v>405</v>
      </c>
      <c r="I664" s="6" t="n">
        <v>3115.2</v>
      </c>
      <c r="J664" s="6" t="n">
        <v>2710.2</v>
      </c>
    </row>
    <row collapsed="false" customFormat="false" customHeight="false" hidden="false" ht="12.1" outlineLevel="0" r="665">
      <c r="A665" s="39" t="n">
        <v>49451</v>
      </c>
      <c r="B665" s="2" t="s">
        <v>803</v>
      </c>
      <c r="C665" s="2" t="s">
        <v>167</v>
      </c>
      <c r="D665" s="2" t="s">
        <v>168</v>
      </c>
      <c r="E665" s="6" t="n">
        <v>1000</v>
      </c>
      <c r="F665" s="7" t="n">
        <v>20</v>
      </c>
      <c r="G665" s="6" t="n">
        <v>61.08</v>
      </c>
      <c r="H665" s="6" t="n">
        <v>159</v>
      </c>
      <c r="I665" s="6" t="n">
        <v>1221.6</v>
      </c>
      <c r="J665" s="6" t="n">
        <v>1062.6</v>
      </c>
    </row>
    <row collapsed="false" customFormat="false" customHeight="false" hidden="false" ht="12.1" outlineLevel="0" r="666">
      <c r="A666" s="39" t="n">
        <v>49451</v>
      </c>
      <c r="B666" s="2" t="s">
        <v>803</v>
      </c>
      <c r="C666" s="2" t="s">
        <v>143</v>
      </c>
      <c r="D666" s="2" t="s">
        <v>144</v>
      </c>
      <c r="E666" s="6" t="n">
        <v>1000</v>
      </c>
      <c r="F666" s="7" t="n">
        <v>53</v>
      </c>
      <c r="G666" s="6" t="n">
        <v>48.87</v>
      </c>
      <c r="H666" s="6" t="n">
        <v>337</v>
      </c>
      <c r="I666" s="6" t="n">
        <v>2590.11</v>
      </c>
      <c r="J666" s="6" t="n">
        <v>2253.11</v>
      </c>
    </row>
    <row collapsed="false" customFormat="false" customHeight="false" hidden="false" ht="12.1" outlineLevel="0" r="667">
      <c r="A667" s="39" t="n">
        <v>49521</v>
      </c>
      <c r="B667" s="2" t="s">
        <v>803</v>
      </c>
      <c r="C667" s="2" t="s">
        <v>140</v>
      </c>
      <c r="D667" s="2" t="s">
        <v>141</v>
      </c>
      <c r="E667" s="6" t="n">
        <v>1000</v>
      </c>
      <c r="F667" s="7" t="n">
        <v>80</v>
      </c>
      <c r="G667" s="6" t="n">
        <v>34.9</v>
      </c>
      <c r="H667" s="6" t="n">
        <v>363</v>
      </c>
      <c r="I667" s="6" t="n">
        <v>2792</v>
      </c>
      <c r="J667" s="6" t="n">
        <v>2429</v>
      </c>
    </row>
    <row collapsed="false" customFormat="false" customHeight="false" hidden="false" ht="12.1" outlineLevel="0" r="668">
      <c r="A668" s="39" t="n">
        <v>49563</v>
      </c>
      <c r="B668" s="2" t="s">
        <v>803</v>
      </c>
      <c r="C668" s="2" t="s">
        <v>152</v>
      </c>
      <c r="D668" s="2" t="s">
        <v>153</v>
      </c>
      <c r="E668" s="6" t="n">
        <v>1000</v>
      </c>
      <c r="F668" s="7" t="n">
        <v>34</v>
      </c>
      <c r="G668" s="6" t="n">
        <v>59.84</v>
      </c>
      <c r="H668" s="6" t="n">
        <v>264</v>
      </c>
      <c r="I668" s="6" t="n">
        <v>2034.56</v>
      </c>
      <c r="J668" s="6" t="n">
        <v>1770.56</v>
      </c>
    </row>
    <row collapsed="false" customFormat="false" customHeight="false" hidden="false" ht="12.1" outlineLevel="0" r="669">
      <c r="A669" s="39" t="n">
        <v>49626</v>
      </c>
      <c r="B669" s="2" t="s">
        <v>803</v>
      </c>
      <c r="C669" s="2" t="s">
        <v>164</v>
      </c>
      <c r="D669" s="2" t="s">
        <v>165</v>
      </c>
      <c r="E669" s="6" t="n">
        <v>1000</v>
      </c>
      <c r="F669" s="7" t="n">
        <v>20</v>
      </c>
      <c r="G669" s="6" t="n">
        <v>61.08</v>
      </c>
      <c r="H669" s="6" t="n">
        <v>159</v>
      </c>
      <c r="I669" s="6" t="n">
        <v>1221.6</v>
      </c>
      <c r="J669" s="6" t="n">
        <v>1062.6</v>
      </c>
    </row>
    <row collapsed="false" customFormat="false" customHeight="false" hidden="false" ht="12.1" outlineLevel="0" r="670">
      <c r="A670" s="39" t="n">
        <v>49633</v>
      </c>
      <c r="B670" s="2" t="s">
        <v>803</v>
      </c>
      <c r="C670" s="2" t="s">
        <v>143</v>
      </c>
      <c r="D670" s="2" t="s">
        <v>144</v>
      </c>
      <c r="E670" s="6" t="n">
        <v>1000</v>
      </c>
      <c r="F670" s="7" t="n">
        <v>53</v>
      </c>
      <c r="G670" s="6" t="n">
        <v>48.87</v>
      </c>
      <c r="H670" s="6" t="n">
        <v>337</v>
      </c>
      <c r="I670" s="6" t="n">
        <v>2590.11</v>
      </c>
      <c r="J670" s="6" t="n">
        <v>2253.11</v>
      </c>
    </row>
    <row collapsed="false" customFormat="false" customHeight="false" hidden="false" ht="12.1" outlineLevel="0" r="671">
      <c r="A671" s="39" t="n">
        <v>49633</v>
      </c>
      <c r="B671" s="2" t="s">
        <v>803</v>
      </c>
      <c r="C671" s="2" t="s">
        <v>136</v>
      </c>
      <c r="D671" s="2" t="s">
        <v>138</v>
      </c>
      <c r="E671" s="6" t="n">
        <v>1000</v>
      </c>
      <c r="F671" s="7" t="n">
        <v>88</v>
      </c>
      <c r="G671" s="6" t="n">
        <v>35.4</v>
      </c>
      <c r="H671" s="6" t="n">
        <v>405</v>
      </c>
      <c r="I671" s="6" t="n">
        <v>3115.2</v>
      </c>
      <c r="J671" s="6" t="n">
        <v>2710.2</v>
      </c>
    </row>
    <row collapsed="false" customFormat="false" customHeight="false" hidden="false" ht="12.1" outlineLevel="0" r="672">
      <c r="A672" s="39" t="n">
        <v>49633</v>
      </c>
      <c r="B672" s="2" t="s">
        <v>803</v>
      </c>
      <c r="C672" s="2" t="s">
        <v>167</v>
      </c>
      <c r="D672" s="2" t="s">
        <v>168</v>
      </c>
      <c r="E672" s="6" t="n">
        <v>1000</v>
      </c>
      <c r="F672" s="7" t="n">
        <v>20</v>
      </c>
      <c r="G672" s="6" t="n">
        <v>61.08</v>
      </c>
      <c r="H672" s="6" t="n">
        <v>159</v>
      </c>
      <c r="I672" s="6" t="n">
        <v>1221.6</v>
      </c>
      <c r="J672" s="6" t="n">
        <v>1062.6</v>
      </c>
    </row>
    <row collapsed="false" customFormat="false" customHeight="false" hidden="false" ht="12.1" outlineLevel="0" r="673">
      <c r="A673" s="39" t="n">
        <v>49703</v>
      </c>
      <c r="B673" s="2" t="s">
        <v>803</v>
      </c>
      <c r="C673" s="2" t="s">
        <v>140</v>
      </c>
      <c r="D673" s="2" t="s">
        <v>141</v>
      </c>
      <c r="E673" s="6" t="n">
        <v>1000</v>
      </c>
      <c r="F673" s="7" t="n">
        <v>80</v>
      </c>
      <c r="G673" s="6" t="n">
        <v>34.9</v>
      </c>
      <c r="H673" s="6" t="n">
        <v>363</v>
      </c>
      <c r="I673" s="6" t="n">
        <v>2792</v>
      </c>
      <c r="J673" s="6" t="n">
        <v>2429</v>
      </c>
    </row>
    <row collapsed="false" customFormat="false" customHeight="false" hidden="false" ht="12.1" outlineLevel="0" r="674">
      <c r="A674" s="39" t="n">
        <v>49745</v>
      </c>
      <c r="B674" s="2" t="s">
        <v>803</v>
      </c>
      <c r="C674" s="2" t="s">
        <v>152</v>
      </c>
      <c r="D674" s="2" t="s">
        <v>153</v>
      </c>
      <c r="E674" s="6" t="n">
        <v>1000</v>
      </c>
      <c r="F674" s="7" t="n">
        <v>34</v>
      </c>
      <c r="G674" s="6" t="n">
        <v>59.84</v>
      </c>
      <c r="H674" s="6" t="n">
        <v>264</v>
      </c>
      <c r="I674" s="6" t="n">
        <v>2034.56</v>
      </c>
      <c r="J674" s="6" t="n">
        <v>1770.56</v>
      </c>
    </row>
    <row collapsed="false" customFormat="false" customHeight="false" hidden="false" ht="12.1" outlineLevel="0" r="675">
      <c r="A675" s="39" t="n">
        <v>49808</v>
      </c>
      <c r="B675" s="2" t="s">
        <v>803</v>
      </c>
      <c r="C675" s="2" t="s">
        <v>164</v>
      </c>
      <c r="D675" s="2" t="s">
        <v>165</v>
      </c>
      <c r="E675" s="6" t="n">
        <v>1000</v>
      </c>
      <c r="F675" s="7" t="n">
        <v>20</v>
      </c>
      <c r="G675" s="6" t="n">
        <v>61.08</v>
      </c>
      <c r="H675" s="6" t="n">
        <v>159</v>
      </c>
      <c r="I675" s="6" t="n">
        <v>1221.6</v>
      </c>
      <c r="J675" s="6" t="n">
        <v>1062.6</v>
      </c>
    </row>
    <row collapsed="false" customFormat="false" customHeight="false" hidden="false" ht="12.1" outlineLevel="0" r="676">
      <c r="A676" s="39" t="n">
        <v>49815</v>
      </c>
      <c r="B676" s="2" t="s">
        <v>803</v>
      </c>
      <c r="C676" s="2" t="s">
        <v>167</v>
      </c>
      <c r="D676" s="2" t="s">
        <v>168</v>
      </c>
      <c r="E676" s="6" t="n">
        <v>1000</v>
      </c>
      <c r="F676" s="7" t="n">
        <v>20</v>
      </c>
      <c r="G676" s="6" t="n">
        <v>61.08</v>
      </c>
      <c r="H676" s="6" t="n">
        <v>159</v>
      </c>
      <c r="I676" s="6" t="n">
        <v>1221.6</v>
      </c>
      <c r="J676" s="6" t="n">
        <v>1062.6</v>
      </c>
    </row>
    <row collapsed="false" customFormat="false" customHeight="false" hidden="false" ht="12.1" outlineLevel="0" r="677">
      <c r="A677" s="39" t="n">
        <v>49815</v>
      </c>
      <c r="B677" s="2" t="s">
        <v>803</v>
      </c>
      <c r="C677" s="2" t="s">
        <v>143</v>
      </c>
      <c r="D677" s="2" t="s">
        <v>144</v>
      </c>
      <c r="E677" s="6" t="n">
        <v>1000</v>
      </c>
      <c r="F677" s="7" t="n">
        <v>53</v>
      </c>
      <c r="G677" s="6" t="n">
        <v>48.87</v>
      </c>
      <c r="H677" s="6" t="n">
        <v>337</v>
      </c>
      <c r="I677" s="6" t="n">
        <v>2590.11</v>
      </c>
      <c r="J677" s="6" t="n">
        <v>2253.11</v>
      </c>
    </row>
    <row collapsed="false" customFormat="false" customHeight="false" hidden="false" ht="12.1" outlineLevel="0" r="678">
      <c r="A678" s="39" t="n">
        <v>49815</v>
      </c>
      <c r="B678" s="2" t="s">
        <v>803</v>
      </c>
      <c r="C678" s="2" t="s">
        <v>136</v>
      </c>
      <c r="D678" s="2" t="s">
        <v>138</v>
      </c>
      <c r="E678" s="6" t="n">
        <v>1000</v>
      </c>
      <c r="F678" s="7" t="n">
        <v>88</v>
      </c>
      <c r="G678" s="6" t="n">
        <v>35.4</v>
      </c>
      <c r="H678" s="6" t="n">
        <v>405</v>
      </c>
      <c r="I678" s="6" t="n">
        <v>3115.2</v>
      </c>
      <c r="J678" s="6" t="n">
        <v>2710.2</v>
      </c>
    </row>
    <row collapsed="false" customFormat="false" customHeight="false" hidden="false" ht="12.1" outlineLevel="0" r="679">
      <c r="A679" s="39" t="n">
        <v>49885</v>
      </c>
      <c r="B679" s="2" t="s">
        <v>803</v>
      </c>
      <c r="C679" s="2" t="s">
        <v>140</v>
      </c>
      <c r="D679" s="2" t="s">
        <v>141</v>
      </c>
      <c r="E679" s="6" t="n">
        <v>1000</v>
      </c>
      <c r="F679" s="7" t="n">
        <v>80</v>
      </c>
      <c r="G679" s="6" t="n">
        <v>34.9</v>
      </c>
      <c r="H679" s="6" t="n">
        <v>363</v>
      </c>
      <c r="I679" s="6" t="n">
        <v>2792</v>
      </c>
      <c r="J679" s="6" t="n">
        <v>2429</v>
      </c>
    </row>
    <row collapsed="false" customFormat="false" customHeight="false" hidden="false" ht="12.1" outlineLevel="0" r="680">
      <c r="A680" s="39" t="n">
        <v>49990</v>
      </c>
      <c r="B680" s="2" t="s">
        <v>803</v>
      </c>
      <c r="C680" s="2" t="s">
        <v>164</v>
      </c>
      <c r="D680" s="2" t="s">
        <v>165</v>
      </c>
      <c r="E680" s="6" t="n">
        <v>1000</v>
      </c>
      <c r="F680" s="7" t="n">
        <v>20</v>
      </c>
      <c r="G680" s="6" t="n">
        <v>61.08</v>
      </c>
      <c r="H680" s="6" t="n">
        <v>159</v>
      </c>
      <c r="I680" s="6" t="n">
        <v>1221.6</v>
      </c>
      <c r="J680" s="6" t="n">
        <v>1062.6</v>
      </c>
    </row>
    <row collapsed="false" customFormat="false" customHeight="false" hidden="false" ht="12.1" outlineLevel="0" r="681">
      <c r="A681" s="39" t="n">
        <v>49997</v>
      </c>
      <c r="B681" s="2" t="s">
        <v>803</v>
      </c>
      <c r="C681" s="2" t="s">
        <v>143</v>
      </c>
      <c r="D681" s="2" t="s">
        <v>144</v>
      </c>
      <c r="E681" s="6" t="n">
        <v>1000</v>
      </c>
      <c r="F681" s="7" t="n">
        <v>53</v>
      </c>
      <c r="G681" s="6" t="n">
        <v>48.87</v>
      </c>
      <c r="H681" s="6" t="n">
        <v>337</v>
      </c>
      <c r="I681" s="6" t="n">
        <v>2590.11</v>
      </c>
      <c r="J681" s="6" t="n">
        <v>2253.11</v>
      </c>
    </row>
    <row collapsed="false" customFormat="false" customHeight="false" hidden="false" ht="12.1" outlineLevel="0" r="682">
      <c r="A682" s="39" t="n">
        <v>49997</v>
      </c>
      <c r="B682" s="2" t="s">
        <v>803</v>
      </c>
      <c r="C682" s="2" t="s">
        <v>136</v>
      </c>
      <c r="D682" s="2" t="s">
        <v>138</v>
      </c>
      <c r="E682" s="6" t="n">
        <v>1000</v>
      </c>
      <c r="F682" s="7" t="n">
        <v>88</v>
      </c>
      <c r="G682" s="6" t="n">
        <v>35.4</v>
      </c>
      <c r="H682" s="6" t="n">
        <v>405</v>
      </c>
      <c r="I682" s="6" t="n">
        <v>3115.2</v>
      </c>
      <c r="J682" s="6" t="n">
        <v>2710.2</v>
      </c>
    </row>
    <row collapsed="false" customFormat="false" customHeight="false" hidden="false" ht="12.1" outlineLevel="0" r="683">
      <c r="A683" s="39" t="n">
        <v>49997</v>
      </c>
      <c r="B683" s="2" t="s">
        <v>803</v>
      </c>
      <c r="C683" s="2" t="s">
        <v>167</v>
      </c>
      <c r="D683" s="2" t="s">
        <v>168</v>
      </c>
      <c r="E683" s="6" t="n">
        <v>1000</v>
      </c>
      <c r="F683" s="7" t="n">
        <v>20</v>
      </c>
      <c r="G683" s="6" t="n">
        <v>61.08</v>
      </c>
      <c r="H683" s="6" t="n">
        <v>159</v>
      </c>
      <c r="I683" s="6" t="n">
        <v>1221.6</v>
      </c>
      <c r="J683" s="6" t="n">
        <v>1062.6</v>
      </c>
    </row>
    <row collapsed="false" customFormat="false" customHeight="false" hidden="false" ht="12.1" outlineLevel="0" r="684">
      <c r="A684" s="39" t="n">
        <v>50172</v>
      </c>
      <c r="B684" s="2" t="s">
        <v>803</v>
      </c>
      <c r="C684" s="2" t="s">
        <v>164</v>
      </c>
      <c r="D684" s="2" t="s">
        <v>165</v>
      </c>
      <c r="E684" s="6" t="n">
        <v>1000</v>
      </c>
      <c r="F684" s="7" t="n">
        <v>20</v>
      </c>
      <c r="G684" s="6" t="n">
        <v>61.08</v>
      </c>
      <c r="H684" s="6" t="n">
        <v>159</v>
      </c>
      <c r="I684" s="6" t="n">
        <v>1221.6</v>
      </c>
      <c r="J684" s="6" t="n">
        <v>1062.6</v>
      </c>
    </row>
    <row collapsed="false" customFormat="false" customHeight="false" hidden="false" ht="12.1" outlineLevel="0" r="685">
      <c r="A685" s="39" t="n">
        <v>50179</v>
      </c>
      <c r="B685" s="2" t="s">
        <v>803</v>
      </c>
      <c r="C685" s="2" t="s">
        <v>143</v>
      </c>
      <c r="D685" s="2" t="s">
        <v>144</v>
      </c>
      <c r="E685" s="6" t="n">
        <v>1000</v>
      </c>
      <c r="F685" s="7" t="n">
        <v>53</v>
      </c>
      <c r="G685" s="6" t="n">
        <v>48.87</v>
      </c>
      <c r="H685" s="6" t="n">
        <v>337</v>
      </c>
      <c r="I685" s="6" t="n">
        <v>2590.11</v>
      </c>
      <c r="J685" s="6" t="n">
        <v>2253.11</v>
      </c>
    </row>
    <row collapsed="false" customFormat="false" customHeight="false" hidden="false" ht="12.1" outlineLevel="0" r="686">
      <c r="A686" s="39" t="n">
        <v>50179</v>
      </c>
      <c r="B686" s="2" t="s">
        <v>803</v>
      </c>
      <c r="C686" s="2" t="s">
        <v>167</v>
      </c>
      <c r="D686" s="2" t="s">
        <v>168</v>
      </c>
      <c r="E686" s="6" t="n">
        <v>1000</v>
      </c>
      <c r="F686" s="7" t="n">
        <v>20</v>
      </c>
      <c r="G686" s="6" t="n">
        <v>61.08</v>
      </c>
      <c r="H686" s="6" t="n">
        <v>159</v>
      </c>
      <c r="I686" s="6" t="n">
        <v>1221.6</v>
      </c>
      <c r="J686" s="6" t="n">
        <v>1062.6</v>
      </c>
    </row>
    <row collapsed="false" customFormat="false" customHeight="false" hidden="false" ht="12.1" outlineLevel="0" r="687">
      <c r="A687" s="39" t="n">
        <v>50179</v>
      </c>
      <c r="B687" s="2" t="s">
        <v>803</v>
      </c>
      <c r="C687" s="2" t="s">
        <v>136</v>
      </c>
      <c r="D687" s="2" t="s">
        <v>138</v>
      </c>
      <c r="E687" s="6" t="n">
        <v>1000</v>
      </c>
      <c r="F687" s="7" t="n">
        <v>88</v>
      </c>
      <c r="G687" s="6" t="n">
        <v>35.4</v>
      </c>
      <c r="H687" s="6" t="n">
        <v>405</v>
      </c>
      <c r="I687" s="6" t="n">
        <v>3115.2</v>
      </c>
      <c r="J687" s="6" t="n">
        <v>2710.2</v>
      </c>
    </row>
    <row collapsed="false" customFormat="false" customHeight="false" hidden="false" ht="12.1" outlineLevel="0" r="688">
      <c r="A688" s="39" t="n">
        <v>50354</v>
      </c>
      <c r="B688" s="2" t="s">
        <v>803</v>
      </c>
      <c r="C688" s="2" t="s">
        <v>164</v>
      </c>
      <c r="D688" s="2" t="s">
        <v>165</v>
      </c>
      <c r="E688" s="6" t="n">
        <v>1000</v>
      </c>
      <c r="F688" s="7" t="n">
        <v>20</v>
      </c>
      <c r="G688" s="6" t="n">
        <v>61.08</v>
      </c>
      <c r="H688" s="6" t="n">
        <v>159</v>
      </c>
      <c r="I688" s="6" t="n">
        <v>1221.6</v>
      </c>
      <c r="J688" s="6" t="n">
        <v>1062.6</v>
      </c>
    </row>
    <row collapsed="false" customFormat="false" customHeight="false" hidden="false" ht="12.1" outlineLevel="0" r="689">
      <c r="A689" s="39" t="n">
        <v>50361</v>
      </c>
      <c r="B689" s="2" t="s">
        <v>803</v>
      </c>
      <c r="C689" s="2" t="s">
        <v>143</v>
      </c>
      <c r="D689" s="2" t="s">
        <v>144</v>
      </c>
      <c r="E689" s="6" t="n">
        <v>1000</v>
      </c>
      <c r="F689" s="7" t="n">
        <v>53</v>
      </c>
      <c r="G689" s="6" t="n">
        <v>48.87</v>
      </c>
      <c r="H689" s="6" t="n">
        <v>337</v>
      </c>
      <c r="I689" s="6" t="n">
        <v>2590.11</v>
      </c>
      <c r="J689" s="6" t="n">
        <v>2253.11</v>
      </c>
    </row>
    <row collapsed="false" customFormat="false" customHeight="false" hidden="false" ht="12.1" outlineLevel="0" r="690">
      <c r="A690" s="39" t="n">
        <v>50361</v>
      </c>
      <c r="B690" s="2" t="s">
        <v>803</v>
      </c>
      <c r="C690" s="2" t="s">
        <v>167</v>
      </c>
      <c r="D690" s="2" t="s">
        <v>168</v>
      </c>
      <c r="E690" s="6" t="n">
        <v>1000</v>
      </c>
      <c r="F690" s="7" t="n">
        <v>20</v>
      </c>
      <c r="G690" s="6" t="n">
        <v>61.08</v>
      </c>
      <c r="H690" s="6" t="n">
        <v>159</v>
      </c>
      <c r="I690" s="6" t="n">
        <v>1221.6</v>
      </c>
      <c r="J690" s="6" t="n">
        <v>1062.6</v>
      </c>
    </row>
    <row collapsed="false" customFormat="false" customHeight="false" hidden="false" ht="12.1" outlineLevel="0" r="691">
      <c r="A691" s="39" t="n">
        <v>50361</v>
      </c>
      <c r="B691" s="2" t="s">
        <v>803</v>
      </c>
      <c r="C691" s="2" t="s">
        <v>136</v>
      </c>
      <c r="D691" s="2" t="s">
        <v>138</v>
      </c>
      <c r="E691" s="6" t="n">
        <v>1000</v>
      </c>
      <c r="F691" s="7" t="n">
        <v>88</v>
      </c>
      <c r="G691" s="6" t="n">
        <v>35.4</v>
      </c>
      <c r="H691" s="6" t="n">
        <v>405</v>
      </c>
      <c r="I691" s="6" t="n">
        <v>3115.2</v>
      </c>
      <c r="J691" s="6" t="n">
        <v>2710.2</v>
      </c>
    </row>
    <row collapsed="false" customFormat="false" customHeight="false" hidden="false" ht="12.1" outlineLevel="0" r="692">
      <c r="A692" s="39" t="n">
        <v>50536</v>
      </c>
      <c r="B692" s="2" t="s">
        <v>803</v>
      </c>
      <c r="C692" s="2" t="s">
        <v>164</v>
      </c>
      <c r="D692" s="2" t="s">
        <v>165</v>
      </c>
      <c r="E692" s="6" t="n">
        <v>1000</v>
      </c>
      <c r="F692" s="7" t="n">
        <v>20</v>
      </c>
      <c r="G692" s="6" t="n">
        <v>61.08</v>
      </c>
      <c r="H692" s="6" t="n">
        <v>159</v>
      </c>
      <c r="I692" s="6" t="n">
        <v>1221.6</v>
      </c>
      <c r="J692" s="6" t="n">
        <v>1062.6</v>
      </c>
    </row>
    <row collapsed="false" customFormat="false" customHeight="false" hidden="false" ht="12.1" outlineLevel="0" r="693">
      <c r="A693" s="39" t="n">
        <v>50543</v>
      </c>
      <c r="B693" s="2" t="s">
        <v>803</v>
      </c>
      <c r="C693" s="2" t="s">
        <v>143</v>
      </c>
      <c r="D693" s="2" t="s">
        <v>144</v>
      </c>
      <c r="E693" s="6" t="n">
        <v>1000</v>
      </c>
      <c r="F693" s="7" t="n">
        <v>53</v>
      </c>
      <c r="G693" s="6" t="n">
        <v>48.87</v>
      </c>
      <c r="H693" s="6" t="n">
        <v>337</v>
      </c>
      <c r="I693" s="6" t="n">
        <v>2590.11</v>
      </c>
      <c r="J693" s="6" t="n">
        <v>2253.11</v>
      </c>
    </row>
    <row collapsed="false" customFormat="false" customHeight="false" hidden="false" ht="12.1" outlineLevel="0" r="694">
      <c r="A694" s="39" t="n">
        <v>50543</v>
      </c>
      <c r="B694" s="2" t="s">
        <v>803</v>
      </c>
      <c r="C694" s="2" t="s">
        <v>167</v>
      </c>
      <c r="D694" s="2" t="s">
        <v>168</v>
      </c>
      <c r="E694" s="6" t="n">
        <v>1000</v>
      </c>
      <c r="F694" s="7" t="n">
        <v>20</v>
      </c>
      <c r="G694" s="6" t="n">
        <v>61.08</v>
      </c>
      <c r="H694" s="6" t="n">
        <v>159</v>
      </c>
      <c r="I694" s="6" t="n">
        <v>1221.6</v>
      </c>
      <c r="J694" s="6" t="n">
        <v>1062.6</v>
      </c>
    </row>
    <row collapsed="false" customFormat="false" customHeight="false" hidden="false" ht="12.1" outlineLevel="0" r="695">
      <c r="A695" s="39" t="n">
        <v>50543</v>
      </c>
      <c r="B695" s="2" t="s">
        <v>803</v>
      </c>
      <c r="C695" s="2" t="s">
        <v>136</v>
      </c>
      <c r="D695" s="2" t="s">
        <v>138</v>
      </c>
      <c r="E695" s="6" t="n">
        <v>1000</v>
      </c>
      <c r="F695" s="7" t="n">
        <v>88</v>
      </c>
      <c r="G695" s="6" t="n">
        <v>35.4</v>
      </c>
      <c r="H695" s="6" t="n">
        <v>405</v>
      </c>
      <c r="I695" s="6" t="n">
        <v>3115.2</v>
      </c>
      <c r="J695" s="6" t="n">
        <v>2710.2</v>
      </c>
    </row>
    <row collapsed="false" customFormat="false" customHeight="false" hidden="false" ht="12.1" outlineLevel="0" r="696">
      <c r="A696" s="39" t="n">
        <v>50718</v>
      </c>
      <c r="B696" s="2" t="s">
        <v>803</v>
      </c>
      <c r="C696" s="2" t="s">
        <v>164</v>
      </c>
      <c r="D696" s="2" t="s">
        <v>165</v>
      </c>
      <c r="E696" s="6" t="n">
        <v>1000</v>
      </c>
      <c r="F696" s="7" t="n">
        <v>20</v>
      </c>
      <c r="G696" s="6" t="n">
        <v>61.08</v>
      </c>
      <c r="H696" s="6" t="n">
        <v>159</v>
      </c>
      <c r="I696" s="6" t="n">
        <v>1221.6</v>
      </c>
      <c r="J696" s="6" t="n">
        <v>1062.6</v>
      </c>
    </row>
    <row collapsed="false" customFormat="false" customHeight="false" hidden="false" ht="12.1" outlineLevel="0" r="697">
      <c r="A697" s="39" t="n">
        <v>50725</v>
      </c>
      <c r="B697" s="2" t="s">
        <v>803</v>
      </c>
      <c r="C697" s="2" t="s">
        <v>136</v>
      </c>
      <c r="D697" s="2" t="s">
        <v>138</v>
      </c>
      <c r="E697" s="6" t="n">
        <v>1000</v>
      </c>
      <c r="F697" s="7" t="n">
        <v>88</v>
      </c>
      <c r="G697" s="6" t="n">
        <v>35.4</v>
      </c>
      <c r="H697" s="6" t="n">
        <v>405</v>
      </c>
      <c r="I697" s="6" t="n">
        <v>3115.2</v>
      </c>
      <c r="J697" s="6" t="n">
        <v>2710.2</v>
      </c>
    </row>
    <row collapsed="false" customFormat="false" customHeight="false" hidden="false" ht="12.1" outlineLevel="0" r="698">
      <c r="A698" s="39" t="n">
        <v>50725</v>
      </c>
      <c r="B698" s="2" t="s">
        <v>803</v>
      </c>
      <c r="C698" s="2" t="s">
        <v>167</v>
      </c>
      <c r="D698" s="2" t="s">
        <v>168</v>
      </c>
      <c r="E698" s="6" t="n">
        <v>1000</v>
      </c>
      <c r="F698" s="7" t="n">
        <v>20</v>
      </c>
      <c r="G698" s="6" t="n">
        <v>61.08</v>
      </c>
      <c r="H698" s="6" t="n">
        <v>159</v>
      </c>
      <c r="I698" s="6" t="n">
        <v>1221.6</v>
      </c>
      <c r="J698" s="6" t="n">
        <v>1062.6</v>
      </c>
    </row>
    <row collapsed="false" customFormat="false" customHeight="false" hidden="false" ht="12.1" outlineLevel="0" r="699">
      <c r="A699" s="39" t="n">
        <v>50900</v>
      </c>
      <c r="B699" s="2" t="s">
        <v>803</v>
      </c>
      <c r="C699" s="2" t="s">
        <v>164</v>
      </c>
      <c r="D699" s="2" t="s">
        <v>165</v>
      </c>
      <c r="E699" s="6" t="n">
        <v>1000</v>
      </c>
      <c r="F699" s="7" t="n">
        <v>20</v>
      </c>
      <c r="G699" s="6" t="n">
        <v>61.08</v>
      </c>
      <c r="H699" s="6" t="n">
        <v>159</v>
      </c>
      <c r="I699" s="6" t="n">
        <v>1221.6</v>
      </c>
      <c r="J699" s="6" t="n">
        <v>1062.6</v>
      </c>
    </row>
    <row collapsed="false" customFormat="false" customHeight="false" hidden="false" ht="12.1" outlineLevel="0" r="700">
      <c r="A700" s="39" t="n">
        <v>50907</v>
      </c>
      <c r="B700" s="2" t="s">
        <v>803</v>
      </c>
      <c r="C700" s="2" t="s">
        <v>167</v>
      </c>
      <c r="D700" s="2" t="s">
        <v>168</v>
      </c>
      <c r="E700" s="6" t="n">
        <v>1000</v>
      </c>
      <c r="F700" s="7" t="n">
        <v>20</v>
      </c>
      <c r="G700" s="6" t="n">
        <v>61.08</v>
      </c>
      <c r="H700" s="6" t="n">
        <v>159</v>
      </c>
      <c r="I700" s="6" t="n">
        <v>1221.6</v>
      </c>
      <c r="J700" s="6" t="n">
        <v>1062.6</v>
      </c>
    </row>
    <row collapsed="false" customFormat="false" customHeight="false" hidden="false" ht="12.1" outlineLevel="0" r="701">
      <c r="A701" s="39" t="n">
        <v>50907</v>
      </c>
      <c r="B701" s="2" t="s">
        <v>803</v>
      </c>
      <c r="C701" s="2" t="s">
        <v>136</v>
      </c>
      <c r="D701" s="2" t="s">
        <v>138</v>
      </c>
      <c r="E701" s="6" t="n">
        <v>1000</v>
      </c>
      <c r="F701" s="7" t="n">
        <v>88</v>
      </c>
      <c r="G701" s="6" t="n">
        <v>35.4</v>
      </c>
      <c r="H701" s="6" t="n">
        <v>405</v>
      </c>
      <c r="I701" s="6" t="n">
        <v>3115.2</v>
      </c>
      <c r="J701" s="6" t="n">
        <v>2710.2</v>
      </c>
    </row>
    <row collapsed="false" customFormat="false" customHeight="false" hidden="false" ht="12.1" outlineLevel="0" r="702">
      <c r="A702" s="39" t="n">
        <v>51089</v>
      </c>
      <c r="B702" s="2" t="s">
        <v>803</v>
      </c>
      <c r="C702" s="2" t="s">
        <v>136</v>
      </c>
      <c r="D702" s="2" t="s">
        <v>138</v>
      </c>
      <c r="E702" s="6" t="n">
        <v>1000</v>
      </c>
      <c r="F702" s="7" t="n">
        <v>88</v>
      </c>
      <c r="G702" s="6" t="n">
        <v>35.4</v>
      </c>
      <c r="H702" s="6" t="n">
        <v>405</v>
      </c>
      <c r="I702" s="6" t="n">
        <v>3115.2</v>
      </c>
      <c r="J702" s="6" t="n">
        <v>2710.2</v>
      </c>
    </row>
    <row collapsed="false" customFormat="false" customHeight="false" hidden="false" ht="12.1" outlineLevel="0" r="703">
      <c r="A703" s="39" t="n">
        <v>51089</v>
      </c>
      <c r="B703" s="2" t="s">
        <v>803</v>
      </c>
      <c r="C703" s="2" t="s">
        <v>167</v>
      </c>
      <c r="D703" s="2" t="s">
        <v>168</v>
      </c>
      <c r="E703" s="6" t="n">
        <v>1000</v>
      </c>
      <c r="F703" s="7" t="n">
        <v>20</v>
      </c>
      <c r="G703" s="6" t="n">
        <v>61.08</v>
      </c>
      <c r="H703" s="6" t="n">
        <v>159</v>
      </c>
      <c r="I703" s="6" t="n">
        <v>1221.6</v>
      </c>
      <c r="J703" s="6" t="n">
        <v>1062.6</v>
      </c>
    </row>
    <row collapsed="false" customFormat="false" customHeight="false" hidden="false" ht="12.1" outlineLevel="0" r="704">
      <c r="A704" s="39" t="n">
        <v>51271</v>
      </c>
      <c r="B704" s="2" t="s">
        <v>803</v>
      </c>
      <c r="C704" s="2" t="s">
        <v>136</v>
      </c>
      <c r="D704" s="2" t="s">
        <v>138</v>
      </c>
      <c r="E704" s="6" t="n">
        <v>1000</v>
      </c>
      <c r="F704" s="7" t="n">
        <v>88</v>
      </c>
      <c r="G704" s="6" t="n">
        <v>35.4</v>
      </c>
      <c r="H704" s="6" t="n">
        <v>405</v>
      </c>
      <c r="I704" s="6" t="n">
        <v>3115.2</v>
      </c>
      <c r="J704" s="6" t="n">
        <v>2710.2</v>
      </c>
    </row>
    <row collapsed="false" customFormat="false" customHeight="false" hidden="false" ht="12.1" outlineLevel="0" r="705">
      <c r="A705" s="39" t="n">
        <v>51271</v>
      </c>
      <c r="B705" s="2" t="s">
        <v>803</v>
      </c>
      <c r="C705" s="2" t="s">
        <v>167</v>
      </c>
      <c r="D705" s="2" t="s">
        <v>168</v>
      </c>
      <c r="E705" s="6" t="n">
        <v>1000</v>
      </c>
      <c r="F705" s="7" t="n">
        <v>20</v>
      </c>
      <c r="G705" s="6" t="n">
        <v>61.08</v>
      </c>
      <c r="H705" s="6" t="n">
        <v>159</v>
      </c>
      <c r="I705" s="6" t="n">
        <v>1221.6</v>
      </c>
      <c r="J705" s="6" t="n">
        <v>1062.6</v>
      </c>
    </row>
    <row collapsed="false" customFormat="false" customHeight="false" hidden="false" ht="12.1" outlineLevel="0" r="706">
      <c r="A706" s="39" t="n">
        <v>51453</v>
      </c>
      <c r="B706" s="2" t="s">
        <v>803</v>
      </c>
      <c r="C706" s="2" t="s">
        <v>136</v>
      </c>
      <c r="D706" s="2" t="s">
        <v>138</v>
      </c>
      <c r="E706" s="6" t="n">
        <v>1000</v>
      </c>
      <c r="F706" s="7" t="n">
        <v>88</v>
      </c>
      <c r="G706" s="6" t="n">
        <v>35.4</v>
      </c>
      <c r="H706" s="6" t="n">
        <v>405</v>
      </c>
      <c r="I706" s="6" t="n">
        <v>3115.2</v>
      </c>
      <c r="J706" s="6" t="n">
        <v>2710.2</v>
      </c>
    </row>
    <row collapsed="false" customFormat="false" customHeight="false" hidden="false" ht="12.1" outlineLevel="0" r="707">
      <c r="A707" s="39" t="n">
        <v>51635</v>
      </c>
      <c r="B707" s="2" t="s">
        <v>803</v>
      </c>
      <c r="C707" s="2" t="s">
        <v>136</v>
      </c>
      <c r="D707" s="2" t="s">
        <v>138</v>
      </c>
      <c r="E707" s="6" t="n">
        <v>1000</v>
      </c>
      <c r="F707" s="7" t="n">
        <v>88</v>
      </c>
      <c r="G707" s="6" t="n">
        <v>35.4</v>
      </c>
      <c r="H707" s="6" t="n">
        <v>405</v>
      </c>
      <c r="I707" s="6" t="n">
        <v>3115.2</v>
      </c>
      <c r="J707" s="6" t="n">
        <v>2710.2</v>
      </c>
    </row>
  </sheetData>
  <autoFilter ref="A1:J70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249</v>
      </c>
      <c r="B1" s="38" t="s">
        <v>793</v>
      </c>
      <c r="C1" s="38" t="s">
        <v>0</v>
      </c>
      <c r="D1" s="38" t="s">
        <v>2</v>
      </c>
      <c r="E1" s="38" t="s">
        <v>794</v>
      </c>
      <c r="F1" s="38" t="s">
        <v>814</v>
      </c>
      <c r="G1" s="38" t="s">
        <v>815</v>
      </c>
      <c r="H1" s="38" t="s">
        <v>254</v>
      </c>
      <c r="I1" s="38" t="s">
        <v>816</v>
      </c>
      <c r="J1" s="38" t="s">
        <v>797</v>
      </c>
      <c r="K1" s="38" t="s">
        <v>817</v>
      </c>
      <c r="L1" s="38" t="s">
        <v>818</v>
      </c>
      <c r="M1" s="38" t="s">
        <v>819</v>
      </c>
      <c r="N1" s="38" t="s">
        <v>820</v>
      </c>
    </row>
    <row collapsed="false" customFormat="false" customHeight="false" hidden="false" ht="12.1" outlineLevel="0" r="2">
      <c r="A2" s="40" t="n">
        <v>44644</v>
      </c>
      <c r="B2" s="2" t="s">
        <v>803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1267</v>
      </c>
      <c r="J2" s="17" t="n">
        <v>311.74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44771</v>
      </c>
      <c r="B3" s="2" t="s">
        <v>803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1140</v>
      </c>
      <c r="J3" s="17" t="n">
        <v>349.7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45196</v>
      </c>
      <c r="B4" s="2" t="s">
        <v>803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715</v>
      </c>
      <c r="J4" s="17" t="n">
        <v>529.87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45503</v>
      </c>
      <c r="B5" s="2" t="s">
        <v>803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408</v>
      </c>
      <c r="J5" s="17" t="n">
        <v>506.855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45594</v>
      </c>
      <c r="B6" s="2" t="s">
        <v>803</v>
      </c>
      <c r="C6" s="2" t="s">
        <v>17</v>
      </c>
      <c r="D6" s="2" t="s">
        <v>19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317</v>
      </c>
      <c r="J6" s="17" t="n">
        <v>443.4545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45623</v>
      </c>
      <c r="B7" s="2" t="s">
        <v>803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288</v>
      </c>
      <c r="J7" s="17" t="n">
        <v>468.275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45621</v>
      </c>
      <c r="B8" s="2" t="s">
        <v>803</v>
      </c>
      <c r="C8" s="2" t="s">
        <v>22</v>
      </c>
      <c r="D8" s="2" t="s">
        <v>23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290</v>
      </c>
      <c r="J8" s="17" t="n">
        <v>230.384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45623</v>
      </c>
      <c r="B9" s="2" t="s">
        <v>803</v>
      </c>
      <c r="C9" s="2" t="s">
        <v>22</v>
      </c>
      <c r="D9" s="2" t="s">
        <v>23</v>
      </c>
      <c r="E9" s="17" t="n">
        <v>30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288</v>
      </c>
      <c r="J9" s="17" t="n">
        <v>224.50933333333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45527</v>
      </c>
      <c r="B10" s="2" t="s">
        <v>803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384</v>
      </c>
      <c r="J10" s="17" t="n">
        <v>8.10405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45603</v>
      </c>
      <c r="B11" s="2" t="s">
        <v>803</v>
      </c>
      <c r="C11" s="2" t="s">
        <v>25</v>
      </c>
      <c r="D11" s="2" t="s">
        <v>26</v>
      </c>
      <c r="E11" s="17" t="n">
        <v>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308</v>
      </c>
      <c r="J11" s="17" t="n">
        <v>8.5118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45495</v>
      </c>
      <c r="B12" s="2" t="s">
        <v>803</v>
      </c>
      <c r="C12" s="2" t="s">
        <v>28</v>
      </c>
      <c r="D12" s="2" t="s">
        <v>29</v>
      </c>
      <c r="E12" s="17" t="n">
        <v>200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416</v>
      </c>
      <c r="J12" s="17" t="n">
        <v>15.5825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45509</v>
      </c>
      <c r="B13" s="2" t="s">
        <v>803</v>
      </c>
      <c r="C13" s="2" t="s">
        <v>28</v>
      </c>
      <c r="D13" s="2" t="s">
        <v>29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402</v>
      </c>
      <c r="J13" s="17" t="n">
        <v>14.201333333333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45474</v>
      </c>
      <c r="B14" s="2" t="s">
        <v>803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437</v>
      </c>
      <c r="J14" s="17" t="n">
        <v>6424.64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45537</v>
      </c>
      <c r="B15" s="2" t="s">
        <v>803</v>
      </c>
      <c r="C15" s="2" t="s">
        <v>31</v>
      </c>
      <c r="D15" s="2" t="s">
        <v>32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374</v>
      </c>
      <c r="J15" s="17" t="n">
        <v>4667.72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44673</v>
      </c>
      <c r="B16" s="2" t="s">
        <v>803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1238</v>
      </c>
      <c r="J16" s="17" t="n">
        <v>3802.28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45607</v>
      </c>
      <c r="B17" s="2" t="s">
        <v>803</v>
      </c>
      <c r="C17" s="2" t="s">
        <v>37</v>
      </c>
      <c r="D17" s="2" t="s">
        <v>38</v>
      </c>
      <c r="E17" s="17" t="n">
        <v>50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304</v>
      </c>
      <c r="J17" s="17" t="n">
        <v>112.53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45530</v>
      </c>
      <c r="B18" s="2" t="s">
        <v>803</v>
      </c>
      <c r="C18" s="2" t="s">
        <v>40</v>
      </c>
      <c r="D18" s="2" t="s">
        <v>41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381</v>
      </c>
      <c r="J18" s="17" t="n">
        <v>658.48</v>
      </c>
      <c r="K18" s="6" t="s">
        <f>=Портфель!F9*Портфель!$Q$13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45537</v>
      </c>
      <c r="B19" s="2" t="s">
        <v>803</v>
      </c>
      <c r="C19" s="2" t="s">
        <v>40</v>
      </c>
      <c r="D19" s="2" t="s">
        <v>41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374</v>
      </c>
      <c r="J19" s="17" t="n">
        <v>640.862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45544</v>
      </c>
      <c r="B20" s="2" t="s">
        <v>803</v>
      </c>
      <c r="C20" s="2" t="s">
        <v>40</v>
      </c>
      <c r="D20" s="2" t="s">
        <v>41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367</v>
      </c>
      <c r="J20" s="17" t="n">
        <v>668.836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45348</v>
      </c>
      <c r="B21" s="2" t="s">
        <v>803</v>
      </c>
      <c r="C21" s="2" t="s">
        <v>43</v>
      </c>
      <c r="D21" s="2" t="s">
        <v>44</v>
      </c>
      <c r="E21" s="17" t="n">
        <v>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563</v>
      </c>
      <c r="J21" s="17" t="n">
        <v>1341.072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45323</v>
      </c>
      <c r="B22" s="2" t="s">
        <v>803</v>
      </c>
      <c r="C22" s="2" t="s">
        <v>46</v>
      </c>
      <c r="D22" s="2" t="s">
        <v>47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588</v>
      </c>
      <c r="J22" s="17" t="n">
        <v>859.49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45491</v>
      </c>
      <c r="B23" s="2" t="s">
        <v>803</v>
      </c>
      <c r="C23" s="2" t="s">
        <v>46</v>
      </c>
      <c r="D23" s="2" t="s">
        <v>47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420</v>
      </c>
      <c r="J23" s="17" t="n">
        <v>600.68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45418</v>
      </c>
      <c r="B24" s="2" t="s">
        <v>803</v>
      </c>
      <c r="C24" s="2" t="s">
        <v>49</v>
      </c>
      <c r="D24" s="2" t="s">
        <v>50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493</v>
      </c>
      <c r="J24" s="17" t="n">
        <v>35.6885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45454</v>
      </c>
      <c r="B25" s="2" t="s">
        <v>803</v>
      </c>
      <c r="C25" s="2" t="s">
        <v>49</v>
      </c>
      <c r="D25" s="2" t="s">
        <v>50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457</v>
      </c>
      <c r="J25" s="17" t="n">
        <v>28.8881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44700</v>
      </c>
      <c r="B26" s="2" t="s">
        <v>803</v>
      </c>
      <c r="C26" s="2" t="s">
        <v>52</v>
      </c>
      <c r="D26" s="2" t="s">
        <v>53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1211</v>
      </c>
      <c r="J26" s="17" t="n">
        <v>36.4218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45446</v>
      </c>
      <c r="B27" s="2" t="s">
        <v>803</v>
      </c>
      <c r="C27" s="2" t="s">
        <v>54</v>
      </c>
      <c r="D27" s="2" t="s">
        <v>55</v>
      </c>
      <c r="E27" s="17" t="n">
        <v>3000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465</v>
      </c>
      <c r="J27" s="17" t="n">
        <v>0.87653333333333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45537</v>
      </c>
      <c r="B28" s="2" t="s">
        <v>803</v>
      </c>
      <c r="C28" s="2" t="s">
        <v>54</v>
      </c>
      <c r="D28" s="2" t="s">
        <v>55</v>
      </c>
      <c r="E28" s="17" t="n">
        <v>3000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374</v>
      </c>
      <c r="J28" s="17" t="n">
        <v>0.59637666666667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45287</v>
      </c>
      <c r="B29" s="2" t="s">
        <v>803</v>
      </c>
      <c r="C29" s="2" t="s">
        <v>57</v>
      </c>
      <c r="D29" s="2" t="s">
        <v>58</v>
      </c>
      <c r="E29" s="17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624</v>
      </c>
      <c r="J29" s="17" t="n">
        <v>680.54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44670</v>
      </c>
      <c r="B30" s="2" t="s">
        <v>803</v>
      </c>
      <c r="C30" s="2" t="s">
        <v>60</v>
      </c>
      <c r="D30" s="2" t="s">
        <v>61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1241</v>
      </c>
      <c r="J30" s="17" t="n">
        <v>11.8211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44810</v>
      </c>
      <c r="B31" s="2" t="s">
        <v>803</v>
      </c>
      <c r="C31" s="2" t="s">
        <v>60</v>
      </c>
      <c r="D31" s="2" t="s">
        <v>61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1101</v>
      </c>
      <c r="J31" s="17" t="n">
        <v>14.5087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45483</v>
      </c>
      <c r="B32" s="2" t="s">
        <v>803</v>
      </c>
      <c r="C32" s="2" t="s">
        <v>63</v>
      </c>
      <c r="D32" s="2" t="s">
        <v>64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428</v>
      </c>
      <c r="J32" s="17" t="n">
        <v>60.4382</v>
      </c>
      <c r="K32" s="6" t="s">
        <f>=Портфель!F17*Портфель!$Q$13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45442</v>
      </c>
      <c r="B33" s="2" t="s">
        <v>803</v>
      </c>
      <c r="C33" s="2" t="s">
        <v>66</v>
      </c>
      <c r="D33" s="2" t="s">
        <v>67</v>
      </c>
      <c r="E33" s="17" t="n">
        <v>22000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469</v>
      </c>
      <c r="J33" s="17" t="n">
        <v>0.22373409090909</v>
      </c>
      <c r="K33" s="6" t="s">
        <f>=Портфель!F18*Портфель!$Q$13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45490</v>
      </c>
      <c r="B34" s="2" t="s">
        <v>803</v>
      </c>
      <c r="C34" s="2" t="s">
        <v>68</v>
      </c>
      <c r="D34" s="2" t="s">
        <v>69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421</v>
      </c>
      <c r="J34" s="17" t="n">
        <v>1438.655</v>
      </c>
      <c r="K34" s="6" t="s">
        <f>=Портфель!F19*Портфель!$Q$13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45474</v>
      </c>
      <c r="B35" s="2" t="s">
        <v>803</v>
      </c>
      <c r="C35" s="2" t="s">
        <v>70</v>
      </c>
      <c r="D35" s="2" t="s">
        <v>71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437</v>
      </c>
      <c r="J35" s="17" t="n">
        <v>177.783</v>
      </c>
      <c r="K35" s="6" t="s">
        <f>=Портфель!F20*Портфель!$Q$13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45484</v>
      </c>
      <c r="B36" s="2" t="s">
        <v>803</v>
      </c>
      <c r="C36" s="2" t="s">
        <v>70</v>
      </c>
      <c r="D36" s="2" t="s">
        <v>71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427</v>
      </c>
      <c r="J36" s="17" t="n">
        <v>166.433</v>
      </c>
      <c r="K36" s="6" t="s">
        <f>=Портфель!F20*Портфель!$Q$13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45036</v>
      </c>
      <c r="B37" s="2" t="s">
        <v>803</v>
      </c>
      <c r="C37" s="2" t="s">
        <v>72</v>
      </c>
      <c r="D37" s="2" t="s">
        <v>73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875</v>
      </c>
      <c r="J37" s="17" t="n">
        <v>605.305</v>
      </c>
      <c r="K37" s="6" t="s">
        <f>=Портфель!F21*Портфель!$Q$13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45044</v>
      </c>
      <c r="B38" s="2" t="s">
        <v>803</v>
      </c>
      <c r="C38" s="2" t="s">
        <v>72</v>
      </c>
      <c r="D38" s="2" t="s">
        <v>73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867</v>
      </c>
      <c r="J38" s="17" t="n">
        <v>597.8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45083</v>
      </c>
      <c r="B39" s="2" t="s">
        <v>803</v>
      </c>
      <c r="C39" s="2" t="s">
        <v>72</v>
      </c>
      <c r="D39" s="2" t="s">
        <v>73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828</v>
      </c>
      <c r="J39" s="17" t="n">
        <v>577.29</v>
      </c>
      <c r="K39" s="6" t="s">
        <f>=Портфель!F21*Портфель!$Q$13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44659</v>
      </c>
      <c r="B40" s="2" t="s">
        <v>803</v>
      </c>
      <c r="C40" s="2" t="s">
        <v>74</v>
      </c>
      <c r="D40" s="2" t="s">
        <v>75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1252</v>
      </c>
      <c r="J40" s="17" t="n">
        <v>85.342</v>
      </c>
      <c r="K40" s="6" t="s">
        <f>=Портфель!F22*Портфель!$Q$13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44727</v>
      </c>
      <c r="B41" s="2" t="s">
        <v>803</v>
      </c>
      <c r="C41" s="2" t="s">
        <v>74</v>
      </c>
      <c r="D41" s="2" t="s">
        <v>75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1184</v>
      </c>
      <c r="J41" s="17" t="n">
        <v>66.49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44746</v>
      </c>
      <c r="B42" s="2" t="s">
        <v>803</v>
      </c>
      <c r="C42" s="2" t="s">
        <v>74</v>
      </c>
      <c r="D42" s="2" t="s">
        <v>75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1165</v>
      </c>
      <c r="J42" s="17" t="n">
        <v>64.589</v>
      </c>
      <c r="K42" s="6" t="s">
        <f>=Портфель!F22*Портфель!$Q$13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44763</v>
      </c>
      <c r="B43" s="2" t="s">
        <v>803</v>
      </c>
      <c r="C43" s="2" t="s">
        <v>74</v>
      </c>
      <c r="D43" s="2" t="s">
        <v>75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1148</v>
      </c>
      <c r="J43" s="17" t="n">
        <v>59.916</v>
      </c>
      <c r="K43" s="6" t="s">
        <f>=Портфель!F22*Портфель!$Q$13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44644</v>
      </c>
      <c r="B44" s="2" t="s">
        <v>803</v>
      </c>
      <c r="C44" s="2" t="s">
        <v>76</v>
      </c>
      <c r="D44" s="2" t="s">
        <v>77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1267</v>
      </c>
      <c r="J44" s="17" t="n">
        <v>92.755</v>
      </c>
      <c r="K44" s="6" t="s">
        <f>=Портфель!F23*Портфель!$Q$13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45454</v>
      </c>
      <c r="B45" s="2" t="s">
        <v>803</v>
      </c>
      <c r="C45" s="2" t="s">
        <v>78</v>
      </c>
      <c r="D45" s="2" t="s">
        <v>79</v>
      </c>
      <c r="E45" s="17" t="n">
        <v>5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457</v>
      </c>
      <c r="J45" s="17" t="n">
        <v>299.09</v>
      </c>
      <c r="K45" s="6" t="s">
        <f>=Портфель!F24*Портфель!$Q$13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45491</v>
      </c>
      <c r="B46" s="2" t="s">
        <v>803</v>
      </c>
      <c r="C46" s="2" t="s">
        <v>78</v>
      </c>
      <c r="D46" s="2" t="s">
        <v>79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420</v>
      </c>
      <c r="J46" s="17" t="n">
        <v>249.638</v>
      </c>
      <c r="K46" s="6" t="s">
        <f>=Портфель!F24*Портфель!$Q$13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44761</v>
      </c>
      <c r="B47" s="2" t="s">
        <v>803</v>
      </c>
      <c r="C47" s="2" t="s">
        <v>80</v>
      </c>
      <c r="D47" s="2" t="s">
        <v>81</v>
      </c>
      <c r="E47" s="17" t="n">
        <v>1000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1150</v>
      </c>
      <c r="J47" s="17" t="n">
        <v>1.42885</v>
      </c>
      <c r="K47" s="6" t="s">
        <f>=Портфель!F25*Портфель!$Q$13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45272</v>
      </c>
      <c r="B48" s="2" t="s">
        <v>803</v>
      </c>
      <c r="C48" s="2" t="s">
        <v>82</v>
      </c>
      <c r="D48" s="2" t="s">
        <v>83</v>
      </c>
      <c r="E48" s="17" t="n">
        <v>20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639</v>
      </c>
      <c r="J48" s="17" t="n">
        <v>70.176</v>
      </c>
      <c r="K48" s="6" t="s">
        <f>=Портфель!F26*Портфель!$Q$13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44673</v>
      </c>
      <c r="B49" s="2" t="s">
        <v>803</v>
      </c>
      <c r="C49" s="2" t="s">
        <v>84</v>
      </c>
      <c r="D49" s="2" t="s">
        <v>85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1238</v>
      </c>
      <c r="J49" s="17" t="n">
        <v>207.285</v>
      </c>
      <c r="K49" s="6" t="s">
        <f>=Портфель!F27*Портфель!$Q$13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45530</v>
      </c>
      <c r="B50" s="2" t="s">
        <v>803</v>
      </c>
      <c r="C50" s="2" t="s">
        <v>86</v>
      </c>
      <c r="D50" s="2" t="s">
        <v>87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381</v>
      </c>
      <c r="J50" s="17" t="n">
        <v>2699.76</v>
      </c>
      <c r="K50" s="6" t="s">
        <f>=Портфель!F28*Портфель!$Q$13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44649</v>
      </c>
      <c r="B51" s="2" t="s">
        <v>803</v>
      </c>
      <c r="C51" s="2" t="s">
        <v>88</v>
      </c>
      <c r="D51" s="2" t="s">
        <v>89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1262</v>
      </c>
      <c r="J51" s="17" t="n">
        <v>1.9312</v>
      </c>
      <c r="K51" s="6" t="s">
        <f>=Портфель!F29*Портфель!$Q$13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44777</v>
      </c>
      <c r="B52" s="2" t="s">
        <v>803</v>
      </c>
      <c r="C52" s="2" t="s">
        <v>88</v>
      </c>
      <c r="D52" s="2" t="s">
        <v>89</v>
      </c>
      <c r="E52" s="17" t="n">
        <v>100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1134</v>
      </c>
      <c r="J52" s="17" t="n">
        <v>3.1234</v>
      </c>
      <c r="K52" s="6" t="s">
        <f>=Портфель!F29*Портфель!$Q$13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45120</v>
      </c>
      <c r="B53" s="2" t="s">
        <v>803</v>
      </c>
      <c r="C53" s="2" t="s">
        <v>88</v>
      </c>
      <c r="D53" s="2" t="s">
        <v>89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791</v>
      </c>
      <c r="J53" s="17" t="n">
        <v>4.1558</v>
      </c>
      <c r="K53" s="6" t="s">
        <f>=Портфель!F29*Портфель!$Q$13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45537</v>
      </c>
      <c r="B54" s="2" t="s">
        <v>803</v>
      </c>
      <c r="C54" s="2" t="s">
        <v>88</v>
      </c>
      <c r="D54" s="2" t="s">
        <v>89</v>
      </c>
      <c r="E54" s="17" t="n">
        <v>100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374</v>
      </c>
      <c r="J54" s="17" t="n">
        <v>3.6269</v>
      </c>
      <c r="K54" s="6" t="s">
        <f>=Портфель!F29*Портфель!$Q$13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45401</v>
      </c>
      <c r="B55" s="2" t="s">
        <v>803</v>
      </c>
      <c r="C55" s="2" t="s">
        <v>90</v>
      </c>
      <c r="D55" s="2" t="s">
        <v>91</v>
      </c>
      <c r="E55" s="17" t="n">
        <v>3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510</v>
      </c>
      <c r="J55" s="17" t="n">
        <v>555.27666666667</v>
      </c>
      <c r="K55" s="6" t="s">
        <f>=Портфель!F30*Портфель!$Q$13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45491</v>
      </c>
      <c r="B56" s="2" t="s">
        <v>803</v>
      </c>
      <c r="C56" s="2" t="s">
        <v>92</v>
      </c>
      <c r="D56" s="2" t="s">
        <v>93</v>
      </c>
      <c r="E56" s="17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420</v>
      </c>
      <c r="J56" s="17" t="n">
        <v>859.44</v>
      </c>
      <c r="K56" s="6" t="s">
        <f>=Портфель!F31*Портфель!$Q$13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45532</v>
      </c>
      <c r="B57" s="2" t="s">
        <v>803</v>
      </c>
      <c r="C57" s="2" t="s">
        <v>94</v>
      </c>
      <c r="D57" s="2" t="s">
        <v>95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379</v>
      </c>
      <c r="J57" s="17" t="n">
        <v>113.711</v>
      </c>
      <c r="K57" s="6" t="s">
        <f>=Портфель!F32*Портфель!$Q$13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45530</v>
      </c>
      <c r="B58" s="2" t="s">
        <v>803</v>
      </c>
      <c r="C58" s="2" t="s">
        <v>96</v>
      </c>
      <c r="D58" s="2" t="s">
        <v>97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381</v>
      </c>
      <c r="J58" s="17" t="n">
        <v>1243.79</v>
      </c>
      <c r="K58" s="6" t="s">
        <f>=Портфель!F33*Портфель!$Q$13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44715</v>
      </c>
      <c r="B59" s="2" t="s">
        <v>803</v>
      </c>
      <c r="C59" s="2" t="s">
        <v>98</v>
      </c>
      <c r="D59" s="2" t="s">
        <v>99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1196</v>
      </c>
      <c r="J59" s="17" t="n">
        <v>814.29</v>
      </c>
      <c r="K59" s="6" t="s">
        <f>=Портфель!F34*Портфель!$Q$13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44938</v>
      </c>
      <c r="B60" s="2" t="s">
        <v>803</v>
      </c>
      <c r="C60" s="2" t="s">
        <v>100</v>
      </c>
      <c r="D60" s="2" t="s">
        <v>101</v>
      </c>
      <c r="E60" s="17" t="n">
        <v>13402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973</v>
      </c>
      <c r="J60" s="17" t="n">
        <v>0.08736</v>
      </c>
      <c r="K60" s="6" t="s">
        <f>=Портфель!F35*Портфель!$Q$13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44734</v>
      </c>
      <c r="B61" s="2" t="s">
        <v>803</v>
      </c>
      <c r="C61" s="2" t="s">
        <v>102</v>
      </c>
      <c r="D61" s="2" t="s">
        <v>103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1177</v>
      </c>
      <c r="J61" s="17" t="n">
        <v>44.007</v>
      </c>
      <c r="K61" s="6" t="s">
        <f>=Портфель!F36*Портфель!$Q$13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44798</v>
      </c>
      <c r="B62" s="2" t="s">
        <v>803</v>
      </c>
      <c r="C62" s="2" t="s">
        <v>102</v>
      </c>
      <c r="D62" s="2" t="s">
        <v>103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1113</v>
      </c>
      <c r="J62" s="17" t="n">
        <v>46.628</v>
      </c>
      <c r="K62" s="6" t="s">
        <f>=Портфель!F36*Портфель!$Q$13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44873</v>
      </c>
      <c r="B63" s="2" t="s">
        <v>803</v>
      </c>
      <c r="C63" s="2" t="s">
        <v>104</v>
      </c>
      <c r="D63" s="2" t="s">
        <v>105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1038</v>
      </c>
      <c r="J63" s="17" t="n">
        <v>498.25</v>
      </c>
      <c r="K63" s="6" t="s">
        <f>=Портфель!F37*Портфель!$Q$13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44740</v>
      </c>
      <c r="B64" s="2" t="s">
        <v>803</v>
      </c>
      <c r="C64" s="2" t="s">
        <v>106</v>
      </c>
      <c r="D64" s="2" t="s">
        <v>107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1171</v>
      </c>
      <c r="J64" s="17" t="n">
        <v>795.08</v>
      </c>
      <c r="K64" s="6" t="s">
        <f>=Портфель!F38*Портфель!$Q$13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44645</v>
      </c>
      <c r="B65" s="2" t="s">
        <v>803</v>
      </c>
      <c r="C65" s="2" t="s">
        <v>108</v>
      </c>
      <c r="D65" s="2" t="s">
        <v>109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1266</v>
      </c>
      <c r="J65" s="17" t="n">
        <v>66.715</v>
      </c>
      <c r="K65" s="6" t="s">
        <f>=Портфель!F39*Портфель!$Q$13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44820</v>
      </c>
      <c r="B66" s="2" t="s">
        <v>803</v>
      </c>
      <c r="C66" s="2" t="s">
        <v>108</v>
      </c>
      <c r="D66" s="2" t="s">
        <v>109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1091</v>
      </c>
      <c r="J66" s="17" t="n">
        <v>48.024</v>
      </c>
      <c r="K66" s="6" t="s">
        <f>=Портфель!F39*Портфель!$Q$13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44670</v>
      </c>
      <c r="B67" s="2" t="s">
        <v>803</v>
      </c>
      <c r="C67" s="2" t="s">
        <v>110</v>
      </c>
      <c r="D67" s="2" t="s">
        <v>111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1241</v>
      </c>
      <c r="J67" s="17" t="n">
        <v>76.705</v>
      </c>
      <c r="K67" s="6" t="s">
        <f>=Портфель!F40*Портфель!$Q$13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45526</v>
      </c>
      <c r="B68" s="2" t="s">
        <v>803</v>
      </c>
      <c r="C68" s="2" t="s">
        <v>112</v>
      </c>
      <c r="D68" s="2" t="s">
        <v>113</v>
      </c>
      <c r="E68" s="17" t="n">
        <v>3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385</v>
      </c>
      <c r="J68" s="17" t="n">
        <v>220.86666666667</v>
      </c>
      <c r="K68" s="6" t="s">
        <f>=Портфель!F41*Портфель!$Q$13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44746</v>
      </c>
      <c r="B69" s="2" t="s">
        <v>803</v>
      </c>
      <c r="C69" s="2" t="s">
        <v>114</v>
      </c>
      <c r="D69" s="2" t="s">
        <v>115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1165</v>
      </c>
      <c r="J69" s="17" t="n">
        <v>32.019</v>
      </c>
      <c r="K69" s="6" t="s">
        <f>=Портфель!F42*Портфель!$Q$13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44648</v>
      </c>
      <c r="B70" s="2" t="s">
        <v>803</v>
      </c>
      <c r="C70" s="2" t="s">
        <v>116</v>
      </c>
      <c r="D70" s="2" t="s">
        <v>117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1263</v>
      </c>
      <c r="J70" s="17" t="n">
        <v>75.6</v>
      </c>
      <c r="K70" s="6" t="s">
        <f>=Портфель!F43*Портфель!$Q$13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44960</v>
      </c>
      <c r="B71" s="2" t="s">
        <v>803</v>
      </c>
      <c r="C71" s="2" t="s">
        <v>116</v>
      </c>
      <c r="D71" s="2" t="s">
        <v>117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951</v>
      </c>
      <c r="J71" s="17" t="n">
        <v>121.105</v>
      </c>
      <c r="K71" s="6" t="s">
        <f>=Портфель!F43*Портфель!$Q$13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44803</v>
      </c>
      <c r="B72" s="2" t="s">
        <v>803</v>
      </c>
      <c r="C72" s="2" t="s">
        <v>118</v>
      </c>
      <c r="D72" s="2" t="s">
        <v>119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1108</v>
      </c>
      <c r="J72" s="17" t="n">
        <v>222.135</v>
      </c>
      <c r="K72" s="6" t="s">
        <f>=Портфель!F44*Портфель!$Q$13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44806</v>
      </c>
      <c r="B73" s="2" t="s">
        <v>803</v>
      </c>
      <c r="C73" s="2" t="s">
        <v>120</v>
      </c>
      <c r="D73" s="2" t="s">
        <v>121</v>
      </c>
      <c r="E73" s="17" t="n">
        <v>100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1105</v>
      </c>
      <c r="J73" s="17" t="n">
        <v>7.2053</v>
      </c>
      <c r="K73" s="6" t="s">
        <f>=Портфель!F45*Портфель!$Q$13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45324</v>
      </c>
      <c r="B74" s="2" t="s">
        <v>803</v>
      </c>
      <c r="C74" s="2" t="s">
        <v>123</v>
      </c>
      <c r="D74" s="2" t="s">
        <v>125</v>
      </c>
      <c r="E74" s="17" t="n">
        <v>600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587</v>
      </c>
      <c r="J74" s="17" t="n">
        <v>134.69285714286</v>
      </c>
      <c r="K74" s="6" t="s">
        <f>=Портфель!F47*Портфель!$Q$6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45418</v>
      </c>
      <c r="B75" s="2" t="s">
        <v>803</v>
      </c>
      <c r="C75" s="2" t="s">
        <v>123</v>
      </c>
      <c r="D75" s="2" t="s">
        <v>125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493</v>
      </c>
      <c r="J75" s="17" t="n">
        <v>136.748844</v>
      </c>
      <c r="K75" s="6" t="s">
        <f>=Портфель!F47*Портфель!$Q$6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45635</v>
      </c>
      <c r="B76" s="2" t="s">
        <v>803</v>
      </c>
      <c r="C76" s="2" t="s">
        <v>123</v>
      </c>
      <c r="D76" s="2" t="s">
        <v>125</v>
      </c>
      <c r="E76" s="17" t="n">
        <v>18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276</v>
      </c>
      <c r="J76" s="17" t="n">
        <v>159.5</v>
      </c>
      <c r="K76" s="6" t="s">
        <f>=Портфель!F47*Портфель!$Q$6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45695</v>
      </c>
      <c r="B77" s="2" t="s">
        <v>803</v>
      </c>
      <c r="C77" s="2" t="s">
        <v>123</v>
      </c>
      <c r="D77" s="2" t="s">
        <v>125</v>
      </c>
      <c r="E77" s="17" t="n">
        <v>42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216</v>
      </c>
      <c r="J77" s="17" t="n">
        <v>148.21428571429</v>
      </c>
      <c r="K77" s="6" t="s">
        <f>=Портфель!F47*Портфель!$Q$6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45698</v>
      </c>
      <c r="B78" s="2" t="s">
        <v>803</v>
      </c>
      <c r="C78" s="2" t="s">
        <v>123</v>
      </c>
      <c r="D78" s="2" t="s">
        <v>125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213</v>
      </c>
      <c r="J78" s="17" t="n">
        <v>148.72</v>
      </c>
      <c r="K78" s="6" t="s">
        <f>=Портфель!F47*Портфель!$Q$6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45783</v>
      </c>
      <c r="B79" s="2" t="s">
        <v>803</v>
      </c>
      <c r="C79" s="2" t="s">
        <v>123</v>
      </c>
      <c r="D79" s="2" t="s">
        <v>125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128</v>
      </c>
      <c r="J79" s="17" t="n">
        <v>126.04</v>
      </c>
      <c r="K79" s="6" t="s">
        <f>=Портфель!F47*Портфель!$Q$6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45789</v>
      </c>
      <c r="B80" s="2" t="s">
        <v>803</v>
      </c>
      <c r="C80" s="2" t="s">
        <v>123</v>
      </c>
      <c r="D80" s="2" t="s">
        <v>125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122</v>
      </c>
      <c r="J80" s="17" t="n">
        <v>126.15</v>
      </c>
      <c r="K80" s="6" t="s">
        <f>=Портфель!F47*Портфель!$Q$6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45790</v>
      </c>
      <c r="B81" s="2" t="s">
        <v>803</v>
      </c>
      <c r="C81" s="2" t="s">
        <v>123</v>
      </c>
      <c r="D81" s="2" t="s">
        <v>125</v>
      </c>
      <c r="E81" s="17" t="n">
        <v>3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121</v>
      </c>
      <c r="J81" s="17" t="n">
        <v>124.96</v>
      </c>
      <c r="K81" s="6" t="s">
        <f>=Портфель!F47*Портфель!$Q$6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45321</v>
      </c>
      <c r="B82" s="2" t="s">
        <v>803</v>
      </c>
      <c r="C82" s="2" t="s">
        <v>126</v>
      </c>
      <c r="D82" s="2" t="s">
        <v>127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590</v>
      </c>
      <c r="J82" s="17" t="n">
        <v>139.6419</v>
      </c>
      <c r="K82" s="6" t="s">
        <f>=Портфель!F48*Портфель!$Q$13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45327</v>
      </c>
      <c r="B83" s="2" t="s">
        <v>803</v>
      </c>
      <c r="C83" s="2" t="s">
        <v>126</v>
      </c>
      <c r="D83" s="2" t="s">
        <v>127</v>
      </c>
      <c r="E83" s="17" t="n">
        <v>50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584</v>
      </c>
      <c r="J83" s="17" t="n">
        <v>139.7818</v>
      </c>
      <c r="K83" s="6" t="s">
        <f>=Портфель!F48*Портфель!$Q$13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45462</v>
      </c>
      <c r="B84" s="2" t="s">
        <v>803</v>
      </c>
      <c r="C84" s="2" t="s">
        <v>126</v>
      </c>
      <c r="D84" s="2" t="s">
        <v>127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449</v>
      </c>
      <c r="J84" s="17" t="n">
        <v>141.44</v>
      </c>
      <c r="K84" s="6" t="s">
        <f>=Портфель!F48*Портфель!$Q$13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45505</v>
      </c>
      <c r="B85" s="2" t="s">
        <v>803</v>
      </c>
      <c r="C85" s="2" t="s">
        <v>126</v>
      </c>
      <c r="D85" s="2" t="s">
        <v>127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406</v>
      </c>
      <c r="J85" s="17" t="n">
        <v>143.22333333333</v>
      </c>
      <c r="K85" s="6" t="s">
        <f>=Портфель!F48*Портфель!$Q$13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45506</v>
      </c>
      <c r="B86" s="2" t="s">
        <v>803</v>
      </c>
      <c r="C86" s="2" t="s">
        <v>126</v>
      </c>
      <c r="D86" s="2" t="s">
        <v>127</v>
      </c>
      <c r="E86" s="17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405</v>
      </c>
      <c r="J86" s="17" t="n">
        <v>143.00333333333</v>
      </c>
      <c r="K86" s="6" t="s">
        <f>=Портфель!F48*Портфель!$Q$13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45509</v>
      </c>
      <c r="B87" s="2" t="s">
        <v>803</v>
      </c>
      <c r="C87" s="2" t="s">
        <v>126</v>
      </c>
      <c r="D87" s="2" t="s">
        <v>127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402</v>
      </c>
      <c r="J87" s="17" t="n">
        <v>143.52</v>
      </c>
      <c r="K87" s="6" t="s">
        <f>=Портфель!F48*Портфель!$Q$13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45526</v>
      </c>
      <c r="B88" s="2" t="s">
        <v>803</v>
      </c>
      <c r="C88" s="2" t="s">
        <v>126</v>
      </c>
      <c r="D88" s="2" t="s">
        <v>127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385</v>
      </c>
      <c r="J88" s="17" t="n">
        <v>143.9025</v>
      </c>
      <c r="K88" s="6" t="s">
        <f>=Портфель!F48*Портфель!$Q$13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45537</v>
      </c>
      <c r="B89" s="2" t="s">
        <v>803</v>
      </c>
      <c r="C89" s="2" t="s">
        <v>126</v>
      </c>
      <c r="D89" s="2" t="s">
        <v>127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374</v>
      </c>
      <c r="J89" s="17" t="n">
        <v>143.2</v>
      </c>
      <c r="K89" s="6" t="s">
        <f>=Портфель!F48*Портфель!$Q$13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45547</v>
      </c>
      <c r="B90" s="2" t="s">
        <v>803</v>
      </c>
      <c r="C90" s="2" t="s">
        <v>126</v>
      </c>
      <c r="D90" s="2" t="s">
        <v>127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364</v>
      </c>
      <c r="J90" s="17" t="n">
        <v>143.84333333333</v>
      </c>
      <c r="K90" s="6" t="s">
        <f>=Портфель!F48*Портфель!$Q$13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45551</v>
      </c>
      <c r="B91" s="2" t="s">
        <v>803</v>
      </c>
      <c r="C91" s="2" t="s">
        <v>126</v>
      </c>
      <c r="D91" s="2" t="s">
        <v>127</v>
      </c>
      <c r="E91" s="17" t="n">
        <v>106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360</v>
      </c>
      <c r="J91" s="17" t="n">
        <v>143.73745283019</v>
      </c>
      <c r="K91" s="6" t="s">
        <f>=Портфель!F48*Портфель!$Q$13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45553</v>
      </c>
      <c r="B92" s="2" t="s">
        <v>803</v>
      </c>
      <c r="C92" s="2" t="s">
        <v>126</v>
      </c>
      <c r="D92" s="2" t="s">
        <v>127</v>
      </c>
      <c r="E92" s="17" t="n">
        <v>11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358</v>
      </c>
      <c r="J92" s="17" t="n">
        <v>143.50454545455</v>
      </c>
      <c r="K92" s="6" t="s">
        <f>=Портфель!F48*Портфель!$Q$13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45567</v>
      </c>
      <c r="B93" s="2" t="s">
        <v>803</v>
      </c>
      <c r="C93" s="2" t="s">
        <v>126</v>
      </c>
      <c r="D93" s="2" t="s">
        <v>127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344</v>
      </c>
      <c r="J93" s="17" t="n">
        <v>144.545</v>
      </c>
      <c r="K93" s="6" t="s">
        <f>=Портфель!F48*Портфель!$Q$13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45568</v>
      </c>
      <c r="B94" s="2" t="s">
        <v>803</v>
      </c>
      <c r="C94" s="2" t="s">
        <v>126</v>
      </c>
      <c r="D94" s="2" t="s">
        <v>127</v>
      </c>
      <c r="E94" s="17" t="n">
        <v>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343</v>
      </c>
      <c r="J94" s="17" t="n">
        <v>144.37666666667</v>
      </c>
      <c r="K94" s="6" t="s">
        <f>=Портфель!F48*Портфель!$Q$13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45573</v>
      </c>
      <c r="B95" s="2" t="s">
        <v>803</v>
      </c>
      <c r="C95" s="2" t="s">
        <v>126</v>
      </c>
      <c r="D95" s="2" t="s">
        <v>127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338</v>
      </c>
      <c r="J95" s="17" t="n">
        <v>144.38</v>
      </c>
      <c r="K95" s="6" t="s">
        <f>=Портфель!F48*Портфель!$Q$13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45574</v>
      </c>
      <c r="B96" s="2" t="s">
        <v>803</v>
      </c>
      <c r="C96" s="2" t="s">
        <v>126</v>
      </c>
      <c r="D96" s="2" t="s">
        <v>127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337</v>
      </c>
      <c r="J96" s="17" t="n">
        <v>144.42</v>
      </c>
      <c r="K96" s="6" t="s">
        <f>=Портфель!F48*Портфель!$Q$13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45628</v>
      </c>
      <c r="B97" s="2" t="s">
        <v>803</v>
      </c>
      <c r="C97" s="2" t="s">
        <v>126</v>
      </c>
      <c r="D97" s="2" t="s">
        <v>127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283</v>
      </c>
      <c r="J97" s="17" t="n">
        <v>141.645</v>
      </c>
      <c r="K97" s="6" t="s">
        <f>=Портфель!F48*Портфель!$Q$13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45701</v>
      </c>
      <c r="B98" s="2" t="s">
        <v>803</v>
      </c>
      <c r="C98" s="2" t="s">
        <v>126</v>
      </c>
      <c r="D98" s="2" t="s">
        <v>127</v>
      </c>
      <c r="E98" s="17" t="n">
        <v>3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210</v>
      </c>
      <c r="J98" s="17" t="n">
        <v>154.42666666667</v>
      </c>
      <c r="K98" s="6" t="s">
        <f>=Портфель!F48*Портфель!$Q$13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45749</v>
      </c>
      <c r="B99" s="2" t="s">
        <v>803</v>
      </c>
      <c r="C99" s="2" t="s">
        <v>126</v>
      </c>
      <c r="D99" s="2" t="s">
        <v>127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162</v>
      </c>
      <c r="J99" s="17" t="n">
        <v>159.55</v>
      </c>
      <c r="K99" s="6" t="s">
        <f>=Портфель!F48*Портфель!$Q$13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44894</v>
      </c>
      <c r="B100" s="2" t="s">
        <v>803</v>
      </c>
      <c r="C100" s="2" t="s">
        <v>128</v>
      </c>
      <c r="D100" s="2" t="s">
        <v>129</v>
      </c>
      <c r="E100" s="17" t="n">
        <v>1100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1017</v>
      </c>
      <c r="J100" s="17" t="n">
        <v>0.88236428571429</v>
      </c>
      <c r="K100" s="6" t="s">
        <f>=Портфель!F49*Портфель!$Q$13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44895</v>
      </c>
      <c r="B101" s="2" t="s">
        <v>803</v>
      </c>
      <c r="C101" s="2" t="s">
        <v>128</v>
      </c>
      <c r="D101" s="2" t="s">
        <v>129</v>
      </c>
      <c r="E101" s="17" t="n">
        <v>1640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1016</v>
      </c>
      <c r="J101" s="17" t="n">
        <v>0.88611585365854</v>
      </c>
      <c r="K101" s="6" t="s">
        <f>=Портфель!F49*Портфель!$Q$13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45272</v>
      </c>
      <c r="B102" s="2" t="s">
        <v>803</v>
      </c>
      <c r="C102" s="2" t="s">
        <v>128</v>
      </c>
      <c r="D102" s="2" t="s">
        <v>129</v>
      </c>
      <c r="E102" s="17" t="n">
        <v>4000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639</v>
      </c>
      <c r="J102" s="17" t="n">
        <v>1.4734425</v>
      </c>
      <c r="K102" s="6" t="s">
        <f>=Портфель!F49*Портфель!$Q$13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45327</v>
      </c>
      <c r="B103" s="2" t="s">
        <v>803</v>
      </c>
      <c r="C103" s="2" t="s">
        <v>128</v>
      </c>
      <c r="D103" s="2" t="s">
        <v>129</v>
      </c>
      <c r="E103" s="17" t="n">
        <v>600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584</v>
      </c>
      <c r="J103" s="17" t="n">
        <v>1.5099666666667</v>
      </c>
      <c r="K103" s="6" t="s">
        <f>=Портфель!F49*Портфель!$Q$13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45454</v>
      </c>
      <c r="B104" s="2" t="s">
        <v>803</v>
      </c>
      <c r="C104" s="2" t="s">
        <v>128</v>
      </c>
      <c r="D104" s="2" t="s">
        <v>129</v>
      </c>
      <c r="E104" s="17" t="n">
        <v>6000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457</v>
      </c>
      <c r="J104" s="17" t="n">
        <v>1.6783033333333</v>
      </c>
      <c r="K104" s="6" t="s">
        <f>=Портфель!F49*Портфель!$Q$13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45742</v>
      </c>
      <c r="B105" s="2" t="s">
        <v>803</v>
      </c>
      <c r="C105" s="2" t="s">
        <v>128</v>
      </c>
      <c r="D105" s="2" t="s">
        <v>129</v>
      </c>
      <c r="E105" s="17" t="n">
        <v>320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169</v>
      </c>
      <c r="J105" s="17" t="n">
        <v>2.08765625</v>
      </c>
      <c r="K105" s="6" t="s">
        <f>=Портфель!F49*Портфель!$Q$13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45757</v>
      </c>
      <c r="B106" s="2" t="s">
        <v>803</v>
      </c>
      <c r="C106" s="2" t="s">
        <v>128</v>
      </c>
      <c r="D106" s="2" t="s">
        <v>129</v>
      </c>
      <c r="E106" s="17" t="n">
        <v>1100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154</v>
      </c>
      <c r="J106" s="17" t="n">
        <v>2.1801545454545</v>
      </c>
      <c r="K106" s="6" t="s">
        <f>=Портфель!F49*Портфель!$Q$13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45789</v>
      </c>
      <c r="B107" s="2" t="s">
        <v>803</v>
      </c>
      <c r="C107" s="2" t="s">
        <v>128</v>
      </c>
      <c r="D107" s="2" t="s">
        <v>129</v>
      </c>
      <c r="E107" s="17" t="n">
        <v>35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122</v>
      </c>
      <c r="J107" s="17" t="n">
        <v>2.1431428571429</v>
      </c>
      <c r="K107" s="6" t="s">
        <f>=Портфель!F49*Портфель!$Q$13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45803</v>
      </c>
      <c r="B108" s="2" t="s">
        <v>803</v>
      </c>
      <c r="C108" s="2" t="s">
        <v>128</v>
      </c>
      <c r="D108" s="2" t="s">
        <v>129</v>
      </c>
      <c r="E108" s="17" t="n">
        <v>19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108</v>
      </c>
      <c r="J108" s="17" t="n">
        <v>2.1426315789474</v>
      </c>
      <c r="K108" s="6" t="s">
        <f>=Портфель!F49*Портфель!$Q$13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45817</v>
      </c>
      <c r="B109" s="2" t="s">
        <v>803</v>
      </c>
      <c r="C109" s="2" t="s">
        <v>128</v>
      </c>
      <c r="D109" s="2" t="s">
        <v>129</v>
      </c>
      <c r="E109" s="17" t="n">
        <v>200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94</v>
      </c>
      <c r="J109" s="17" t="n">
        <v>2.1306</v>
      </c>
      <c r="K109" s="6" t="s">
        <f>=Портфель!F49*Портфель!$Q$13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45840</v>
      </c>
      <c r="B110" s="2" t="s">
        <v>803</v>
      </c>
      <c r="C110" s="2" t="s">
        <v>128</v>
      </c>
      <c r="D110" s="2" t="s">
        <v>129</v>
      </c>
      <c r="E110" s="17" t="n">
        <v>100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71</v>
      </c>
      <c r="J110" s="17" t="n">
        <v>2.1092</v>
      </c>
      <c r="K110" s="6" t="s">
        <f>=Портфель!F49*Портфель!$Q$13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45846</v>
      </c>
      <c r="B111" s="2" t="s">
        <v>803</v>
      </c>
      <c r="C111" s="2" t="s">
        <v>128</v>
      </c>
      <c r="D111" s="2" t="s">
        <v>129</v>
      </c>
      <c r="E111" s="17" t="n">
        <v>350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64</v>
      </c>
      <c r="J111" s="17" t="n">
        <v>2.0841428571429</v>
      </c>
      <c r="K111" s="6" t="s">
        <f>=Портфель!F49*Портфель!$Q$13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45463</v>
      </c>
      <c r="B112" s="2" t="s">
        <v>803</v>
      </c>
      <c r="C112" s="2" t="s">
        <v>131</v>
      </c>
      <c r="D112" s="2" t="s">
        <v>132</v>
      </c>
      <c r="E112" s="17" t="n">
        <v>31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448</v>
      </c>
      <c r="J112" s="17" t="n">
        <v>136.54096774194</v>
      </c>
      <c r="K112" s="6" t="s">
        <f>=Портфель!F50*Портфель!$Q$13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45527</v>
      </c>
      <c r="B113" s="2" t="s">
        <v>803</v>
      </c>
      <c r="C113" s="2" t="s">
        <v>131</v>
      </c>
      <c r="D113" s="2" t="s">
        <v>132</v>
      </c>
      <c r="E113" s="17" t="n">
        <v>30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384</v>
      </c>
      <c r="J113" s="17" t="n">
        <v>125.18766666667</v>
      </c>
      <c r="K113" s="6" t="s">
        <f>=Портфель!F50*Портфель!$Q$13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45537</v>
      </c>
      <c r="B114" s="2" t="s">
        <v>803</v>
      </c>
      <c r="C114" s="2" t="s">
        <v>131</v>
      </c>
      <c r="D114" s="2" t="s">
        <v>132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374</v>
      </c>
      <c r="J114" s="17" t="n">
        <v>121.8875</v>
      </c>
      <c r="K114" s="6" t="s">
        <f>=Портфель!F50*Портфель!$Q$13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45594</v>
      </c>
      <c r="B115" s="2" t="s">
        <v>803</v>
      </c>
      <c r="C115" s="2" t="s">
        <v>131</v>
      </c>
      <c r="D115" s="2" t="s">
        <v>132</v>
      </c>
      <c r="E115" s="17" t="n">
        <v>6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317</v>
      </c>
      <c r="J115" s="17" t="n">
        <v>122.23666666667</v>
      </c>
      <c r="K115" s="6" t="s">
        <f>=Портфель!F50*Портфель!$Q$13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45622</v>
      </c>
      <c r="B116" s="2" t="s">
        <v>803</v>
      </c>
      <c r="C116" s="2" t="s">
        <v>131</v>
      </c>
      <c r="D116" s="2" t="s">
        <v>132</v>
      </c>
      <c r="E116" s="17" t="n">
        <v>60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289</v>
      </c>
      <c r="J116" s="17" t="n">
        <v>117.88533333333</v>
      </c>
      <c r="K116" s="6" t="s">
        <f>=Портфель!F50*Портфель!$Q$13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45636</v>
      </c>
      <c r="B117" s="2" t="s">
        <v>803</v>
      </c>
      <c r="C117" s="2" t="s">
        <v>131</v>
      </c>
      <c r="D117" s="2" t="s">
        <v>132</v>
      </c>
      <c r="E117" s="17" t="n">
        <v>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275</v>
      </c>
      <c r="J117" s="17" t="n">
        <v>119.885</v>
      </c>
      <c r="K117" s="6" t="s">
        <f>=Портфель!F50*Портфель!$Q$13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45597</v>
      </c>
      <c r="B118" s="2" t="s">
        <v>803</v>
      </c>
      <c r="C118" s="2" t="s">
        <v>133</v>
      </c>
      <c r="D118" s="2" t="s">
        <v>134</v>
      </c>
      <c r="E118" s="17" t="n">
        <v>1537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314</v>
      </c>
      <c r="J118" s="17" t="n">
        <v>1.5114</v>
      </c>
      <c r="K118" s="6" t="s">
        <f>=Портфель!F51*Портфель!$Q$13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45855</v>
      </c>
      <c r="B119" s="2" t="s">
        <v>803</v>
      </c>
      <c r="C119" s="2" t="s">
        <v>133</v>
      </c>
      <c r="D119" s="2" t="s">
        <v>134</v>
      </c>
      <c r="E119" s="17" t="n">
        <v>1850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56</v>
      </c>
      <c r="J119" s="17" t="n">
        <v>1.746</v>
      </c>
      <c r="K119" s="6" t="s">
        <f>=Портфель!F51*Портфель!$Q$13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45874</v>
      </c>
      <c r="B120" s="2" t="s">
        <v>803</v>
      </c>
      <c r="C120" s="2" t="s">
        <v>133</v>
      </c>
      <c r="D120" s="2" t="s">
        <v>134</v>
      </c>
      <c r="E120" s="17" t="n">
        <v>150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37</v>
      </c>
      <c r="J120" s="17" t="n">
        <v>1.7627333333333</v>
      </c>
      <c r="K120" s="6" t="s">
        <f>=Портфель!F51*Портфель!$Q$13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45880</v>
      </c>
      <c r="B121" s="2" t="s">
        <v>803</v>
      </c>
      <c r="C121" s="2" t="s">
        <v>133</v>
      </c>
      <c r="D121" s="2" t="s">
        <v>134</v>
      </c>
      <c r="E121" s="17" t="n">
        <v>4100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31</v>
      </c>
      <c r="J121" s="17" t="n">
        <v>1.7677</v>
      </c>
      <c r="K121" s="6" t="s">
        <f>=Портфель!F51*Портфель!$Q$13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45901</v>
      </c>
      <c r="B122" s="2" t="s">
        <v>803</v>
      </c>
      <c r="C122" s="2" t="s">
        <v>133</v>
      </c>
      <c r="D122" s="2" t="s">
        <v>134</v>
      </c>
      <c r="E122" s="17" t="n">
        <v>450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10</v>
      </c>
      <c r="J122" s="17" t="n">
        <v>1.7859111111111</v>
      </c>
      <c r="K122" s="6" t="s">
        <f>=Портфель!F51*Портфель!$Q$13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45902</v>
      </c>
      <c r="B123" s="2" t="s">
        <v>803</v>
      </c>
      <c r="C123" s="2" t="s">
        <v>133</v>
      </c>
      <c r="D123" s="2" t="s">
        <v>134</v>
      </c>
      <c r="E123" s="17" t="n">
        <v>160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9</v>
      </c>
      <c r="J123" s="17" t="n">
        <v>1.7868125</v>
      </c>
      <c r="K123" s="6" t="s">
        <f>=Портфель!F51*Портфель!$Q$13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45369</v>
      </c>
      <c r="B124" s="2" t="s">
        <v>803</v>
      </c>
      <c r="C124" s="2" t="s">
        <v>136</v>
      </c>
      <c r="D124" s="2" t="s">
        <v>138</v>
      </c>
      <c r="E124" s="17" t="n">
        <v>10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542</v>
      </c>
      <c r="J124" s="17" t="n">
        <v>628.566</v>
      </c>
      <c r="K124" s="6" t="s">
        <f>=Портфель!F53*Портфель!G53/100*Портфель!$Q$13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45429</v>
      </c>
      <c r="B125" s="2" t="s">
        <v>803</v>
      </c>
      <c r="C125" s="2" t="s">
        <v>136</v>
      </c>
      <c r="D125" s="2" t="s">
        <v>138</v>
      </c>
      <c r="E125" s="17" t="n">
        <v>17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482</v>
      </c>
      <c r="J125" s="17" t="n">
        <v>608.82411764706</v>
      </c>
      <c r="K125" s="6" t="s">
        <f>=Портфель!F53*Портфель!G53/100*Портфель!$Q$13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45447</v>
      </c>
      <c r="B126" s="2" t="s">
        <v>803</v>
      </c>
      <c r="C126" s="2" t="s">
        <v>136</v>
      </c>
      <c r="D126" s="2" t="s">
        <v>138</v>
      </c>
      <c r="E126" s="17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464</v>
      </c>
      <c r="J126" s="17" t="n">
        <v>549.957</v>
      </c>
      <c r="K126" s="6" t="s">
        <f>=Портфель!F53*Портфель!G53/100*Портфель!$Q$13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45461</v>
      </c>
      <c r="B127" s="2" t="s">
        <v>803</v>
      </c>
      <c r="C127" s="2" t="s">
        <v>136</v>
      </c>
      <c r="D127" s="2" t="s">
        <v>138</v>
      </c>
      <c r="E127" s="17" t="n">
        <v>20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450</v>
      </c>
      <c r="J127" s="17" t="n">
        <v>537.493</v>
      </c>
      <c r="K127" s="6" t="s">
        <f>=Портфель!F53*Портфель!G53/100*Портфель!$Q$13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45462</v>
      </c>
      <c r="B128" s="2" t="s">
        <v>803</v>
      </c>
      <c r="C128" s="2" t="s">
        <v>136</v>
      </c>
      <c r="D128" s="2" t="s">
        <v>138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449</v>
      </c>
      <c r="J128" s="17" t="n">
        <v>533.02</v>
      </c>
      <c r="K128" s="6" t="s">
        <f>=Портфель!F53*Портфель!G53/100*Портфель!$Q$13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45488</v>
      </c>
      <c r="B129" s="2" t="s">
        <v>803</v>
      </c>
      <c r="C129" s="2" t="s">
        <v>136</v>
      </c>
      <c r="D129" s="2" t="s">
        <v>138</v>
      </c>
      <c r="E129" s="17" t="n">
        <v>30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423</v>
      </c>
      <c r="J129" s="17" t="n">
        <v>528.482</v>
      </c>
      <c r="K129" s="6" t="s">
        <f>=Портфель!F53*Портфель!G53/100*Портфель!$Q$13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45369</v>
      </c>
      <c r="B130" s="2" t="s">
        <v>803</v>
      </c>
      <c r="C130" s="2" t="s">
        <v>140</v>
      </c>
      <c r="D130" s="2" t="s">
        <v>141</v>
      </c>
      <c r="E130" s="17" t="n">
        <v>10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542</v>
      </c>
      <c r="J130" s="17" t="n">
        <v>651.597</v>
      </c>
      <c r="K130" s="6" t="s">
        <f>=Портфель!F54*Портфель!G54/100*Портфель!$Q$13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45429</v>
      </c>
      <c r="B131" s="2" t="s">
        <v>803</v>
      </c>
      <c r="C131" s="2" t="s">
        <v>140</v>
      </c>
      <c r="D131" s="2" t="s">
        <v>141</v>
      </c>
      <c r="E131" s="17" t="n">
        <v>20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482</v>
      </c>
      <c r="J131" s="17" t="n">
        <v>627.7565</v>
      </c>
      <c r="K131" s="6" t="s">
        <f>=Портфель!F54*Портфель!G54/100*Портфель!$Q$13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45464</v>
      </c>
      <c r="B132" s="2" t="s">
        <v>803</v>
      </c>
      <c r="C132" s="2" t="s">
        <v>140</v>
      </c>
      <c r="D132" s="2" t="s">
        <v>141</v>
      </c>
      <c r="E132" s="17" t="n">
        <v>20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447</v>
      </c>
      <c r="J132" s="17" t="n">
        <v>582.5955</v>
      </c>
      <c r="K132" s="6" t="s">
        <f>=Портфель!F54*Портфель!G54/100*Портфель!$Q$13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45488</v>
      </c>
      <c r="B133" s="2" t="s">
        <v>803</v>
      </c>
      <c r="C133" s="2" t="s">
        <v>140</v>
      </c>
      <c r="D133" s="2" t="s">
        <v>141</v>
      </c>
      <c r="E133" s="17" t="n">
        <v>30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423</v>
      </c>
      <c r="J133" s="17" t="n">
        <v>577.189</v>
      </c>
      <c r="K133" s="6" t="s">
        <f>=Портфель!F54*Портфель!G54/100*Портфель!$Q$13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45509</v>
      </c>
      <c r="B134" s="2" t="s">
        <v>803</v>
      </c>
      <c r="C134" s="2" t="s">
        <v>143</v>
      </c>
      <c r="D134" s="2" t="s">
        <v>144</v>
      </c>
      <c r="E134" s="17" t="n">
        <v>47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402</v>
      </c>
      <c r="J134" s="17" t="n">
        <v>703.00914893617</v>
      </c>
      <c r="K134" s="6" t="s">
        <f>=Портфель!F55*Портфель!G55/100*Портфель!$Q$13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45560</v>
      </c>
      <c r="B135" s="2" t="s">
        <v>803</v>
      </c>
      <c r="C135" s="2" t="s">
        <v>143</v>
      </c>
      <c r="D135" s="2" t="s">
        <v>144</v>
      </c>
      <c r="E135" s="17" t="n">
        <v>3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351</v>
      </c>
      <c r="J135" s="17" t="n">
        <v>703.99333333333</v>
      </c>
      <c r="K135" s="6" t="s">
        <f>=Портфель!F55*Портфель!G55/100*Портфель!$Q$13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45568</v>
      </c>
      <c r="B136" s="2" t="s">
        <v>803</v>
      </c>
      <c r="C136" s="2" t="s">
        <v>143</v>
      </c>
      <c r="D136" s="2" t="s">
        <v>144</v>
      </c>
      <c r="E136" s="17" t="n">
        <v>3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343</v>
      </c>
      <c r="J136" s="17" t="n">
        <v>685.25333333333</v>
      </c>
      <c r="K136" s="6" t="s">
        <f>=Портфель!F55*Портфель!G55/100*Портфель!$Q$13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45369</v>
      </c>
      <c r="B137" s="2" t="s">
        <v>803</v>
      </c>
      <c r="C137" s="2" t="s">
        <v>146</v>
      </c>
      <c r="D137" s="2" t="s">
        <v>147</v>
      </c>
      <c r="E137" s="17" t="n">
        <v>10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542</v>
      </c>
      <c r="J137" s="17" t="n">
        <v>953.531</v>
      </c>
      <c r="K137" s="6" t="s">
        <f>=Портфель!F56*Портфель!G56/100*Портфель!$Q$13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0" t="n">
        <v>45391</v>
      </c>
      <c r="B138" s="2" t="s">
        <v>803</v>
      </c>
      <c r="C138" s="2" t="s">
        <v>146</v>
      </c>
      <c r="D138" s="2" t="s">
        <v>147</v>
      </c>
      <c r="E138" s="17" t="n">
        <v>10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520</v>
      </c>
      <c r="J138" s="17" t="n">
        <v>896.355</v>
      </c>
      <c r="K138" s="6" t="s">
        <f>=Портфель!F56*Портфель!G56/100*Портфель!$Q$13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0" t="n">
        <v>45551</v>
      </c>
      <c r="B139" s="2" t="s">
        <v>803</v>
      </c>
      <c r="C139" s="2" t="s">
        <v>146</v>
      </c>
      <c r="D139" s="2" t="s">
        <v>147</v>
      </c>
      <c r="E139" s="17" t="n">
        <v>20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360</v>
      </c>
      <c r="J139" s="17" t="n">
        <v>845.073</v>
      </c>
      <c r="K139" s="6" t="s">
        <f>=Портфель!F56*Портфель!G56/100*Портфель!$Q$13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0" t="n">
        <v>45379</v>
      </c>
      <c r="B140" s="2" t="s">
        <v>803</v>
      </c>
      <c r="C140" s="2" t="s">
        <v>149</v>
      </c>
      <c r="D140" s="2" t="s">
        <v>150</v>
      </c>
      <c r="E140" s="17" t="n">
        <v>10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532</v>
      </c>
      <c r="J140" s="17" t="n">
        <v>772.76</v>
      </c>
      <c r="K140" s="6" t="s">
        <f>=Портфель!F57*Портфель!G57/100*Портфель!$Q$13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0" t="n">
        <v>45429</v>
      </c>
      <c r="B141" s="2" t="s">
        <v>803</v>
      </c>
      <c r="C141" s="2" t="s">
        <v>149</v>
      </c>
      <c r="D141" s="2" t="s">
        <v>150</v>
      </c>
      <c r="E141" s="17" t="n">
        <v>15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482</v>
      </c>
      <c r="J141" s="17" t="n">
        <v>710.85933333333</v>
      </c>
      <c r="K141" s="6" t="s">
        <f>=Портфель!F57*Портфель!G57/100*Портфель!$Q$13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0" t="n">
        <v>45551</v>
      </c>
      <c r="B142" s="2" t="s">
        <v>803</v>
      </c>
      <c r="C142" s="2" t="s">
        <v>149</v>
      </c>
      <c r="D142" s="2" t="s">
        <v>150</v>
      </c>
      <c r="E142" s="17" t="n">
        <v>20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360</v>
      </c>
      <c r="J142" s="17" t="n">
        <v>667.47</v>
      </c>
      <c r="K142" s="6" t="s">
        <f>=Портфель!F57*Портфель!G57/100*Портфель!$Q$13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0" t="n">
        <v>45551</v>
      </c>
      <c r="B143" s="2" t="s">
        <v>803</v>
      </c>
      <c r="C143" s="2" t="s">
        <v>152</v>
      </c>
      <c r="D143" s="2" t="s">
        <v>153</v>
      </c>
      <c r="E143" s="17" t="n">
        <v>20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360</v>
      </c>
      <c r="J143" s="17" t="n">
        <v>853.575</v>
      </c>
      <c r="K143" s="6" t="s">
        <f>=Портфель!F58*Портфель!G58/100*Портфель!$Q$13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0" t="n">
        <v>45573</v>
      </c>
      <c r="B144" s="2" t="s">
        <v>803</v>
      </c>
      <c r="C144" s="2" t="s">
        <v>152</v>
      </c>
      <c r="D144" s="2" t="s">
        <v>153</v>
      </c>
      <c r="E144" s="17" t="n">
        <v>14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338</v>
      </c>
      <c r="J144" s="17" t="n">
        <v>782.78785714286</v>
      </c>
      <c r="K144" s="6" t="s">
        <f>=Портфель!F58*Портфель!G58/100*Портфель!$Q$13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0" t="n">
        <v>45280</v>
      </c>
      <c r="B145" s="2" t="s">
        <v>803</v>
      </c>
      <c r="C145" s="2" t="s">
        <v>155</v>
      </c>
      <c r="D145" s="2" t="s">
        <v>156</v>
      </c>
      <c r="E145" s="17" t="n">
        <v>3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631</v>
      </c>
      <c r="J145" s="17" t="n">
        <v>983.69</v>
      </c>
      <c r="K145" s="6" t="s">
        <f>=Портфель!F59*Портфель!G59/100*Портфель!$Q$13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0" t="n">
        <v>45496</v>
      </c>
      <c r="B146" s="2" t="s">
        <v>803</v>
      </c>
      <c r="C146" s="2" t="s">
        <v>155</v>
      </c>
      <c r="D146" s="2" t="s">
        <v>156</v>
      </c>
      <c r="E146" s="17" t="n">
        <v>5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415</v>
      </c>
      <c r="J146" s="17" t="n">
        <v>896.88</v>
      </c>
      <c r="K146" s="6" t="s">
        <f>=Портфель!F59*Портфель!G59/100*Портфель!$Q$13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0" t="n">
        <v>45901</v>
      </c>
      <c r="B147" s="2" t="s">
        <v>803</v>
      </c>
      <c r="C147" s="2" t="s">
        <v>155</v>
      </c>
      <c r="D147" s="2" t="s">
        <v>156</v>
      </c>
      <c r="E147" s="17" t="n">
        <v>23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10</v>
      </c>
      <c r="J147" s="17" t="n">
        <v>925.00782608696</v>
      </c>
      <c r="K147" s="6" t="s">
        <f>=Портфель!F59*Портфель!G59/100*Портфель!$Q$13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0" t="n">
        <v>45307</v>
      </c>
      <c r="B148" s="2" t="s">
        <v>803</v>
      </c>
      <c r="C148" s="2" t="s">
        <v>158</v>
      </c>
      <c r="D148" s="2" t="s">
        <v>159</v>
      </c>
      <c r="E148" s="17" t="n">
        <v>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604</v>
      </c>
      <c r="J148" s="17" t="n">
        <v>834.868</v>
      </c>
      <c r="K148" s="6" t="s">
        <f>=Портфель!F60*Портфель!G60/100*Портфель!$Q$13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0" t="n">
        <v>45327</v>
      </c>
      <c r="B149" s="2" t="s">
        <v>803</v>
      </c>
      <c r="C149" s="2" t="s">
        <v>158</v>
      </c>
      <c r="D149" s="2" t="s">
        <v>159</v>
      </c>
      <c r="E149" s="17" t="n">
        <v>5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584</v>
      </c>
      <c r="J149" s="17" t="n">
        <v>839.132</v>
      </c>
      <c r="K149" s="6" t="s">
        <f>=Портфель!F60*Портфель!G60/100*Портфель!$Q$13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0" t="n">
        <v>45341</v>
      </c>
      <c r="B150" s="2" t="s">
        <v>803</v>
      </c>
      <c r="C150" s="2" t="s">
        <v>158</v>
      </c>
      <c r="D150" s="2" t="s">
        <v>159</v>
      </c>
      <c r="E150" s="17" t="n">
        <v>5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570</v>
      </c>
      <c r="J150" s="17" t="n">
        <v>835.502</v>
      </c>
      <c r="K150" s="6" t="s">
        <f>=Портфель!F60*Портфель!G60/100*Портфель!$Q$13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0" t="n">
        <v>45429</v>
      </c>
      <c r="B151" s="2" t="s">
        <v>803</v>
      </c>
      <c r="C151" s="2" t="s">
        <v>158</v>
      </c>
      <c r="D151" s="2" t="s">
        <v>159</v>
      </c>
      <c r="E151" s="17" t="n">
        <v>16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482</v>
      </c>
      <c r="J151" s="17" t="n">
        <v>770.094375</v>
      </c>
      <c r="K151" s="6" t="s">
        <f>=Портфель!F60*Портфель!G60/100*Портфель!$Q$13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0" t="n">
        <v>45496</v>
      </c>
      <c r="B152" s="2" t="s">
        <v>803</v>
      </c>
      <c r="C152" s="2" t="s">
        <v>158</v>
      </c>
      <c r="D152" s="2" t="s">
        <v>159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415</v>
      </c>
      <c r="J152" s="17" t="n">
        <v>733.54666666667</v>
      </c>
      <c r="K152" s="6" t="s">
        <f>=Портфель!F60*Портфель!G60/100*Портфель!$Q$13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0" t="n">
        <v>45551</v>
      </c>
      <c r="B153" s="2" t="s">
        <v>803</v>
      </c>
      <c r="C153" s="2" t="s">
        <v>161</v>
      </c>
      <c r="D153" s="2" t="s">
        <v>162</v>
      </c>
      <c r="E153" s="17" t="n">
        <v>20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360</v>
      </c>
      <c r="J153" s="17" t="n">
        <v>742.3075</v>
      </c>
      <c r="K153" s="6" t="s">
        <f>=Портфель!F61*Портфель!G61/100*Портфель!$Q$13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0" t="n">
        <v>45573</v>
      </c>
      <c r="B154" s="2" t="s">
        <v>803</v>
      </c>
      <c r="C154" s="2" t="s">
        <v>161</v>
      </c>
      <c r="D154" s="2" t="s">
        <v>162</v>
      </c>
      <c r="E154" s="17" t="n">
        <v>14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338</v>
      </c>
      <c r="J154" s="17" t="n">
        <v>716.70642857143</v>
      </c>
      <c r="K154" s="6" t="s">
        <f>=Портфель!F61*Портфель!G61/100*Портфель!$Q$13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0" t="n">
        <v>45551</v>
      </c>
      <c r="B155" s="2" t="s">
        <v>803</v>
      </c>
      <c r="C155" s="2" t="s">
        <v>164</v>
      </c>
      <c r="D155" s="2" t="s">
        <v>165</v>
      </c>
      <c r="E155" s="17" t="n">
        <v>20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360</v>
      </c>
      <c r="J155" s="17" t="n">
        <v>852.424</v>
      </c>
      <c r="K155" s="6" t="s">
        <f>=Портфель!F62*Портфель!G62/100*Портфель!$Q$13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0" t="n">
        <v>45551</v>
      </c>
      <c r="B156" s="2" t="s">
        <v>803</v>
      </c>
      <c r="C156" s="2" t="s">
        <v>167</v>
      </c>
      <c r="D156" s="2" t="s">
        <v>168</v>
      </c>
      <c r="E156" s="17" t="n">
        <v>20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360</v>
      </c>
      <c r="J156" s="17" t="n">
        <v>849.422</v>
      </c>
      <c r="K156" s="6" t="s">
        <f>=Портфель!F63*Портфель!G63/100*Портфель!$Q$13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0" t="n">
        <v>45365</v>
      </c>
      <c r="B157" s="2" t="s">
        <v>803</v>
      </c>
      <c r="C157" s="2" t="s">
        <v>170</v>
      </c>
      <c r="D157" s="2" t="s">
        <v>171</v>
      </c>
      <c r="E157" s="17" t="n">
        <v>10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546</v>
      </c>
      <c r="J157" s="17" t="n">
        <v>963.188</v>
      </c>
      <c r="K157" s="6" t="s">
        <f>=Портфель!F64*Портфель!G64/100*Портфель!$Q$13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0" t="n">
        <v>45496</v>
      </c>
      <c r="B158" s="2" t="s">
        <v>803</v>
      </c>
      <c r="C158" s="2" t="s">
        <v>170</v>
      </c>
      <c r="D158" s="2" t="s">
        <v>171</v>
      </c>
      <c r="E158" s="17" t="n">
        <v>9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415</v>
      </c>
      <c r="J158" s="17" t="n">
        <v>900.98222222222</v>
      </c>
      <c r="K158" s="6" t="s">
        <f>=Портфель!F64*Портфель!G64/100*Портфель!$Q$13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0" t="n">
        <v>45391</v>
      </c>
      <c r="B159" s="2" t="s">
        <v>803</v>
      </c>
      <c r="C159" s="2" t="s">
        <v>173</v>
      </c>
      <c r="D159" s="2" t="s">
        <v>174</v>
      </c>
      <c r="E159" s="17" t="n">
        <v>7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520</v>
      </c>
      <c r="J159" s="17" t="n">
        <v>768.44857142857</v>
      </c>
      <c r="K159" s="6" t="s">
        <f>=Портфель!F65*Портфель!G65/100*Портфель!$Q$13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0" t="n">
        <v>45496</v>
      </c>
      <c r="B160" s="2" t="s">
        <v>803</v>
      </c>
      <c r="C160" s="2" t="s">
        <v>173</v>
      </c>
      <c r="D160" s="2" t="s">
        <v>174</v>
      </c>
      <c r="E160" s="17" t="n">
        <v>10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415</v>
      </c>
      <c r="J160" s="17" t="n">
        <v>706.848</v>
      </c>
      <c r="K160" s="6" t="s">
        <f>=Портфель!F65*Портфель!G65/100*Портфель!$Q$13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0" t="n">
        <v>45509</v>
      </c>
      <c r="B161" s="2" t="s">
        <v>803</v>
      </c>
      <c r="C161" s="2" t="s">
        <v>173</v>
      </c>
      <c r="D161" s="2" t="s">
        <v>174</v>
      </c>
      <c r="E161" s="17" t="n">
        <v>3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402</v>
      </c>
      <c r="J161" s="17" t="n">
        <v>699.36</v>
      </c>
      <c r="K161" s="6" t="s">
        <f>=Портфель!F65*Портфель!G65/100*Портфель!$Q$13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0" t="n">
        <v>45327</v>
      </c>
      <c r="B162" s="2" t="s">
        <v>803</v>
      </c>
      <c r="C162" s="2" t="s">
        <v>176</v>
      </c>
      <c r="D162" s="2" t="s">
        <v>177</v>
      </c>
      <c r="E162" s="17" t="n">
        <v>10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584</v>
      </c>
      <c r="J162" s="17" t="n">
        <v>944.104</v>
      </c>
      <c r="K162" s="6" t="s">
        <f>=Портфель!F66*Портфель!G66/100*Портфель!$Q$13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0" t="n">
        <v>45341</v>
      </c>
      <c r="B163" s="2" t="s">
        <v>803</v>
      </c>
      <c r="C163" s="2" t="s">
        <v>176</v>
      </c>
      <c r="D163" s="2" t="s">
        <v>177</v>
      </c>
      <c r="E163" s="17" t="n">
        <v>5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570</v>
      </c>
      <c r="J163" s="17" t="n">
        <v>942.68</v>
      </c>
      <c r="K163" s="6" t="s">
        <f>=Портфель!F66*Портфель!G66/100*Портфель!$Q$13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0" t="n">
        <v>45327</v>
      </c>
      <c r="B164" s="2" t="s">
        <v>803</v>
      </c>
      <c r="C164" s="2" t="s">
        <v>179</v>
      </c>
      <c r="D164" s="2" t="s">
        <v>180</v>
      </c>
      <c r="E164" s="17" t="n">
        <v>10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584</v>
      </c>
      <c r="J164" s="17" t="n">
        <v>928.653</v>
      </c>
      <c r="K164" s="6" t="s">
        <f>=Портфель!F67*Портфель!G67/100*Портфель!$Q$13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0" t="n">
        <v>45391</v>
      </c>
      <c r="B165" s="2" t="s">
        <v>803</v>
      </c>
      <c r="C165" s="2" t="s">
        <v>182</v>
      </c>
      <c r="D165" s="2" t="s">
        <v>183</v>
      </c>
      <c r="E165" s="17" t="n">
        <v>7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520</v>
      </c>
      <c r="J165" s="17" t="n">
        <v>749.29142857143</v>
      </c>
      <c r="K165" s="6" t="s">
        <f>=Портфель!F68*Портфель!G68/100*Портфель!$Q$13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0" t="n">
        <v>45509</v>
      </c>
      <c r="B166" s="2" t="s">
        <v>803</v>
      </c>
      <c r="C166" s="2" t="s">
        <v>182</v>
      </c>
      <c r="D166" s="2" t="s">
        <v>183</v>
      </c>
      <c r="E166" s="17" t="n">
        <v>5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402</v>
      </c>
      <c r="J166" s="17" t="n">
        <v>679.658</v>
      </c>
      <c r="K166" s="6" t="s">
        <f>=Портфель!F68*Портфель!G68/100*Портфель!$Q$13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0" t="n">
        <v>45509</v>
      </c>
      <c r="B167" s="2" t="s">
        <v>803</v>
      </c>
      <c r="C167" s="2" t="s">
        <v>185</v>
      </c>
      <c r="D167" s="2" t="s">
        <v>186</v>
      </c>
      <c r="E167" s="17" t="n">
        <v>10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402</v>
      </c>
      <c r="J167" s="17" t="n">
        <v>735.681</v>
      </c>
      <c r="K167" s="6" t="s">
        <f>=Портфель!F69*Портфель!G69/100*Портфель!$Q$13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0" t="n">
        <v>45273</v>
      </c>
      <c r="B168" s="2" t="s">
        <v>803</v>
      </c>
      <c r="C168" s="2" t="s">
        <v>188</v>
      </c>
      <c r="D168" s="2" t="s">
        <v>189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638</v>
      </c>
      <c r="J168" s="17" t="n">
        <v>957.93</v>
      </c>
      <c r="K168" s="6" t="s">
        <f>=Портфель!F70*Портфель!G70/100*Портфель!$Q$13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0" t="n">
        <v>45496</v>
      </c>
      <c r="B169" s="2" t="s">
        <v>803</v>
      </c>
      <c r="C169" s="2" t="s">
        <v>188</v>
      </c>
      <c r="D169" s="2" t="s">
        <v>189</v>
      </c>
      <c r="E169" s="17" t="n">
        <v>3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415</v>
      </c>
      <c r="J169" s="17" t="n">
        <v>904.23333333333</v>
      </c>
      <c r="K169" s="6" t="s">
        <f>=Портфель!F70*Портфель!G70/100*Портфель!$Q$13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0" t="n">
        <v>45509</v>
      </c>
      <c r="B170" s="2" t="s">
        <v>803</v>
      </c>
      <c r="C170" s="2" t="s">
        <v>188</v>
      </c>
      <c r="D170" s="2" t="s">
        <v>189</v>
      </c>
      <c r="E170" s="17" t="n">
        <v>3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402</v>
      </c>
      <c r="J170" s="17" t="n">
        <v>917.42666666667</v>
      </c>
      <c r="K170" s="6" t="s">
        <f>=Портфель!F70*Портфель!G70/100*Портфель!$Q$13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0" t="n">
        <v>45604</v>
      </c>
      <c r="B171" s="2" t="s">
        <v>803</v>
      </c>
      <c r="C171" s="2" t="s">
        <v>191</v>
      </c>
      <c r="D171" s="2" t="s">
        <v>192</v>
      </c>
      <c r="E171" s="17" t="n">
        <v>5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307</v>
      </c>
      <c r="J171" s="17" t="n">
        <v>926.354</v>
      </c>
      <c r="K171" s="6" t="s">
        <f>=Портфель!F71*Портфель!G71/100*Портфель!$Q$13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0" t="n">
        <v>45308</v>
      </c>
      <c r="B172" s="2" t="s">
        <v>803</v>
      </c>
      <c r="C172" s="2" t="s">
        <v>194</v>
      </c>
      <c r="D172" s="2" t="s">
        <v>195</v>
      </c>
      <c r="E172" s="17" t="n">
        <v>5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603</v>
      </c>
      <c r="J172" s="17" t="n">
        <v>1018.956</v>
      </c>
      <c r="K172" s="6" t="s">
        <f>=Портфель!F72*Портфель!G72/100*Портфель!$Q$13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0" t="n">
        <v>45366</v>
      </c>
      <c r="B173" s="2" t="s">
        <v>803</v>
      </c>
      <c r="C173" s="2" t="s">
        <v>194</v>
      </c>
      <c r="D173" s="2" t="s">
        <v>195</v>
      </c>
      <c r="E173" s="17" t="n">
        <v>5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545</v>
      </c>
      <c r="J173" s="17" t="n">
        <v>1013.712</v>
      </c>
      <c r="K173" s="6" t="s">
        <f>=Портфель!F72*Портфель!G72/100*Портфель!$Q$13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0" t="n">
        <v>45307</v>
      </c>
      <c r="B174" s="2" t="s">
        <v>803</v>
      </c>
      <c r="C174" s="2" t="s">
        <v>197</v>
      </c>
      <c r="D174" s="2" t="s">
        <v>198</v>
      </c>
      <c r="E174" s="17" t="n">
        <v>5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604</v>
      </c>
      <c r="J174" s="17" t="n">
        <v>930.844</v>
      </c>
      <c r="K174" s="6" t="s">
        <f>=Портфель!F73*Портфель!G73/100*Портфель!$Q$13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0" t="n">
        <v>45495</v>
      </c>
      <c r="B175" s="2" t="s">
        <v>803</v>
      </c>
      <c r="C175" s="2" t="s">
        <v>200</v>
      </c>
      <c r="D175" s="2" t="s">
        <v>201</v>
      </c>
      <c r="E175" s="17" t="n">
        <v>5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416</v>
      </c>
      <c r="J175" s="17" t="n">
        <v>841.182</v>
      </c>
      <c r="K175" s="6" t="s">
        <f>=Портфель!F74*Портфель!G74/100*Портфель!$Q$13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0" t="n">
        <v>45307</v>
      </c>
      <c r="B176" s="2" t="s">
        <v>803</v>
      </c>
      <c r="C176" s="2" t="s">
        <v>203</v>
      </c>
      <c r="D176" s="2" t="s">
        <v>204</v>
      </c>
      <c r="E176" s="17" t="n">
        <v>2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604</v>
      </c>
      <c r="J176" s="17" t="n">
        <v>1001.13</v>
      </c>
      <c r="K176" s="6" t="s">
        <f>=Портфель!F75*Портфель!G75/100*Портфель!$Q$13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0" t="n">
        <v>45341</v>
      </c>
      <c r="B177" s="2" t="s">
        <v>803</v>
      </c>
      <c r="C177" s="2" t="s">
        <v>203</v>
      </c>
      <c r="D177" s="2" t="s">
        <v>204</v>
      </c>
      <c r="E177" s="17" t="n">
        <v>2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570</v>
      </c>
      <c r="J177" s="17" t="n">
        <v>1006.85</v>
      </c>
      <c r="K177" s="6" t="s">
        <f>=Портфель!F75*Портфель!G75/100*Портфель!$Q$13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0" t="n">
        <v>45496</v>
      </c>
      <c r="B178" s="2" t="s">
        <v>803</v>
      </c>
      <c r="C178" s="2" t="s">
        <v>203</v>
      </c>
      <c r="D178" s="2" t="s">
        <v>204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415</v>
      </c>
      <c r="J178" s="17" t="n">
        <v>933.87</v>
      </c>
      <c r="K178" s="6" t="s">
        <f>=Портфель!F75*Портфель!G75/100*Портфель!$Q$13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0" t="n">
        <v>45321</v>
      </c>
      <c r="B179" s="2" t="s">
        <v>803</v>
      </c>
      <c r="C179" s="2" t="s">
        <v>206</v>
      </c>
      <c r="D179" s="2" t="s">
        <v>207</v>
      </c>
      <c r="E179" s="17" t="n">
        <v>3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590</v>
      </c>
      <c r="J179" s="17" t="n">
        <v>903.45666666667</v>
      </c>
      <c r="K179" s="6" t="s">
        <f>=Портфель!F76*Портфель!G76/100*Портфель!$Q$13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0" t="n">
        <v>45341</v>
      </c>
      <c r="B180" s="2" t="s">
        <v>803</v>
      </c>
      <c r="C180" s="2" t="s">
        <v>206</v>
      </c>
      <c r="D180" s="2" t="s">
        <v>207</v>
      </c>
      <c r="E180" s="17" t="n">
        <v>2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570</v>
      </c>
      <c r="J180" s="17" t="n">
        <v>907.32</v>
      </c>
      <c r="K180" s="6" t="s">
        <f>=Портфель!F76*Портфель!G76/100*Портфель!$Q$13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0" t="n">
        <v>45287</v>
      </c>
      <c r="B181" s="2" t="s">
        <v>803</v>
      </c>
      <c r="C181" s="2" t="s">
        <v>209</v>
      </c>
      <c r="D181" s="2" t="s">
        <v>210</v>
      </c>
      <c r="E181" s="17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624</v>
      </c>
      <c r="J181" s="17" t="n">
        <v>998.53</v>
      </c>
      <c r="K181" s="6" t="s">
        <f>=Портфель!F77*Портфель!G77/100*Портфель!$Q$13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0" t="n">
        <v>45509</v>
      </c>
      <c r="B182" s="2" t="s">
        <v>803</v>
      </c>
      <c r="C182" s="2" t="s">
        <v>209</v>
      </c>
      <c r="D182" s="2" t="s">
        <v>210</v>
      </c>
      <c r="E182" s="17" t="n">
        <v>2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402</v>
      </c>
      <c r="J182" s="17" t="n">
        <v>951.535</v>
      </c>
      <c r="K182" s="6" t="s">
        <f>=Портфель!F77*Портфель!G77/100*Портфель!$Q$13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0" t="n">
        <v>45307</v>
      </c>
      <c r="B183" s="2" t="s">
        <v>803</v>
      </c>
      <c r="C183" s="2" t="s">
        <v>212</v>
      </c>
      <c r="D183" s="2" t="s">
        <v>213</v>
      </c>
      <c r="E183" s="17" t="n">
        <v>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604</v>
      </c>
      <c r="J183" s="17" t="n">
        <v>955.195</v>
      </c>
      <c r="K183" s="6" t="s">
        <f>=Портфель!F78*Портфель!G78/100*Портфель!$Q$13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0" t="n">
        <v>45321</v>
      </c>
      <c r="B184" s="2" t="s">
        <v>803</v>
      </c>
      <c r="C184" s="2" t="s">
        <v>212</v>
      </c>
      <c r="D184" s="2" t="s">
        <v>213</v>
      </c>
      <c r="E184" s="17" t="n">
        <v>2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590</v>
      </c>
      <c r="J184" s="17" t="n">
        <v>958.685</v>
      </c>
      <c r="K184" s="6" t="s">
        <f>=Портфель!F78*Портфель!G78/100*Портфель!$Q$13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0" t="n">
        <v>45273</v>
      </c>
      <c r="B185" s="2" t="s">
        <v>803</v>
      </c>
      <c r="C185" s="2" t="s">
        <v>215</v>
      </c>
      <c r="D185" s="2" t="s">
        <v>216</v>
      </c>
      <c r="E185" s="17" t="n">
        <v>5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638</v>
      </c>
      <c r="J185" s="17" t="n">
        <v>974.57</v>
      </c>
      <c r="K185" s="6" t="s">
        <f>=Портфель!F79*Портфель!G79/100*Портфель!$Q$13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0" t="n">
        <v>45321</v>
      </c>
      <c r="B186" s="2" t="s">
        <v>803</v>
      </c>
      <c r="C186" s="2" t="s">
        <v>218</v>
      </c>
      <c r="D186" s="2" t="s">
        <v>219</v>
      </c>
      <c r="E186" s="17" t="n">
        <v>3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590</v>
      </c>
      <c r="J186" s="17" t="n">
        <v>934.56666666667</v>
      </c>
      <c r="K186" s="6" t="s">
        <f>=Портфель!F80*Портфель!G80/100*Портфель!$Q$13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0" t="n">
        <v>45324</v>
      </c>
      <c r="B187" s="2" t="s">
        <v>803</v>
      </c>
      <c r="C187" s="2" t="s">
        <v>221</v>
      </c>
      <c r="D187" s="2" t="s">
        <v>222</v>
      </c>
      <c r="E187" s="17" t="n">
        <v>7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587</v>
      </c>
      <c r="J187" s="17" t="n">
        <v>892.36857142857</v>
      </c>
      <c r="K187" s="6" t="s">
        <f>=Портфель!F81*Портфель!G81/100*Портфель!$Q$13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0" t="n">
        <v>45287</v>
      </c>
      <c r="B188" s="2" t="s">
        <v>803</v>
      </c>
      <c r="C188" s="2" t="s">
        <v>224</v>
      </c>
      <c r="D188" s="2" t="s">
        <v>225</v>
      </c>
      <c r="E188" s="17" t="n">
        <v>2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624</v>
      </c>
      <c r="J188" s="17" t="n">
        <v>984.175</v>
      </c>
      <c r="K188" s="6" t="s">
        <f>=Портфель!F82*Портфель!G82/100*Портфель!$Q$13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0" t="n">
        <v>45307</v>
      </c>
      <c r="B189" s="2" t="s">
        <v>803</v>
      </c>
      <c r="C189" s="2" t="s">
        <v>227</v>
      </c>
      <c r="D189" s="2" t="s">
        <v>228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604</v>
      </c>
      <c r="J189" s="17" t="n">
        <v>1047.21</v>
      </c>
      <c r="K189" s="6" t="s">
        <f>=Портфель!F83*Портфель!G83/100*Портфель!$Q$13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0" t="n">
        <v>45273</v>
      </c>
      <c r="B190" s="2" t="s">
        <v>803</v>
      </c>
      <c r="C190" s="2" t="s">
        <v>230</v>
      </c>
      <c r="D190" s="2" t="s">
        <v>231</v>
      </c>
      <c r="E190" s="17" t="n">
        <v>2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638</v>
      </c>
      <c r="J190" s="17" t="n">
        <v>992.89</v>
      </c>
      <c r="K190" s="6" t="s">
        <f>=Портфель!F84*Портфель!G84/100*Портфель!$Q$13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0" t="n">
        <v>45488</v>
      </c>
      <c r="B191" s="2" t="s">
        <v>803</v>
      </c>
      <c r="C191" s="2" t="s">
        <v>233</v>
      </c>
      <c r="D191" s="2" t="s">
        <v>234</v>
      </c>
      <c r="E191" s="17" t="n">
        <v>10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423</v>
      </c>
      <c r="J191" s="17" t="n">
        <v>604.04</v>
      </c>
      <c r="K191" s="6" t="s">
        <f>=Портфель!F85*Портфель!G85/100*Портфель!$Q$13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0" t="n">
        <v>44960</v>
      </c>
      <c r="B192" s="2" t="s">
        <v>803</v>
      </c>
      <c r="C192" s="2" t="s">
        <v>236</v>
      </c>
      <c r="D192" s="2" t="s">
        <v>237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951</v>
      </c>
      <c r="J192" s="17" t="n">
        <v>937.71</v>
      </c>
      <c r="K192" s="6" t="s">
        <f>=Портфель!F86*Портфель!G86/100*Портфель!$Q$13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0" t="n">
        <v>45307</v>
      </c>
      <c r="B193" s="2" t="s">
        <v>803</v>
      </c>
      <c r="C193" s="2" t="s">
        <v>239</v>
      </c>
      <c r="D193" s="2" t="s">
        <v>240</v>
      </c>
      <c r="E193" s="17" t="n">
        <v>2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604</v>
      </c>
      <c r="J193" s="17" t="n">
        <v>980.345</v>
      </c>
      <c r="K193" s="6" t="s">
        <f>=Портфель!F87*Портфель!G87/100*Портфель!$Q$13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0" t="n">
        <v>45348</v>
      </c>
      <c r="B194" s="2" t="s">
        <v>803</v>
      </c>
      <c r="C194" s="2" t="s">
        <v>242</v>
      </c>
      <c r="D194" s="2" t="s">
        <v>243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563</v>
      </c>
      <c r="J194" s="17" t="n">
        <v>724.33</v>
      </c>
      <c r="K194" s="6" t="s">
        <f>=Портфель!F88*Портфель!G88/100*Портфель!$Q$13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0" t="n">
        <v>0</v>
      </c>
      <c r="B195" s="2" t="s">
        <v>821</v>
      </c>
      <c r="C195" s="2" t="s">
        <v>821</v>
      </c>
      <c r="D195" s="2" t="s">
        <v>821</v>
      </c>
      <c r="E195" s="17" t="n">
        <v> </v>
      </c>
      <c r="F195" s="7" t="n">
        <v> </v>
      </c>
      <c r="G195" s="17" t="n">
        <v> </v>
      </c>
      <c r="H195" s="2" t="s">
        <v>821</v>
      </c>
      <c r="I195" s="7" t="n">
        <v> </v>
      </c>
      <c r="J195" s="17" t="n">
        <v> </v>
      </c>
      <c r="K195" s="17" t="n">
        <v> </v>
      </c>
      <c r="L195" s="17" t="n">
        <v> </v>
      </c>
      <c r="M195" s="17" t="n">
        <v> </v>
      </c>
    </row>
    <row collapsed="false" customFormat="false" customHeight="false" hidden="false" ht="12.1" outlineLevel="0" r="196">
      <c r="A196" s="40"/>
      <c r="B196" s="2"/>
      <c r="C196" s="2"/>
      <c r="D196" s="2" t="s">
        <v>822</v>
      </c>
      <c r="E196" s="17" t="n">
        <v> </v>
      </c>
      <c r="F196" s="7" t="n">
        <v> </v>
      </c>
      <c r="G196" s="17" t="n">
        <v> </v>
      </c>
      <c r="H196" s="2" t="s">
        <v>821</v>
      </c>
      <c r="I196" s="7" t="n">
        <v> </v>
      </c>
      <c r="J196" s="17" t="n">
        <v> </v>
      </c>
      <c r="K196" s="17" t="n">
        <v> </v>
      </c>
      <c r="L196" s="17" t="n">
        <v> </v>
      </c>
      <c r="M196" s="17" t="n">
        <v> </v>
      </c>
    </row>
  </sheetData>
  <autoFilter ref="A1:N19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823</v>
      </c>
      <c r="D1" s="38" t="s">
        <v>824</v>
      </c>
      <c r="E1" s="38" t="s">
        <v>797</v>
      </c>
      <c r="F1" s="38" t="s">
        <v>825</v>
      </c>
      <c r="G1" s="38" t="s">
        <v>794</v>
      </c>
      <c r="H1" s="38" t="s">
        <v>826</v>
      </c>
      <c r="I1" s="38" t="s">
        <v>827</v>
      </c>
      <c r="J1" s="38" t="s">
        <v>828</v>
      </c>
      <c r="K1" s="38" t="s">
        <v>829</v>
      </c>
    </row>
    <row collapsed="false" customFormat="false" customHeight="false" hidden="false" ht="12.1" outlineLevel="0" r="2">
      <c r="A2" s="2" t="s">
        <v>60</v>
      </c>
      <c r="B2" s="2" t="s">
        <v>61</v>
      </c>
      <c r="C2" s="41" t="n">
        <v>44644</v>
      </c>
      <c r="D2" s="42" t="n">
        <v>44810</v>
      </c>
      <c r="E2" s="17" t="n">
        <v>11.514</v>
      </c>
      <c r="F2" s="17" t="n">
        <v>15.3997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532</v>
      </c>
      <c r="B3" s="2" t="s">
        <v>830</v>
      </c>
      <c r="C3" s="41" t="n">
        <v>44645</v>
      </c>
      <c r="D3" s="42" t="n">
        <v>44813</v>
      </c>
      <c r="E3" s="17" t="n">
        <v>0.018</v>
      </c>
      <c r="F3" s="17" t="n">
        <v>0.0198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533</v>
      </c>
      <c r="B4" s="2" t="s">
        <v>831</v>
      </c>
      <c r="C4" s="41" t="n">
        <v>44648</v>
      </c>
      <c r="D4" s="42" t="n">
        <v>45880</v>
      </c>
      <c r="E4" s="17" t="n">
        <v>70.06</v>
      </c>
      <c r="F4" s="17" t="n">
        <v>129.2465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533</v>
      </c>
      <c r="B5" s="2" t="s">
        <v>831</v>
      </c>
      <c r="C5" s="41" t="n">
        <v>45852</v>
      </c>
      <c r="D5" s="42" t="n">
        <v>45880</v>
      </c>
      <c r="E5" s="17" t="n">
        <v>108.3542</v>
      </c>
      <c r="F5" s="17" t="n">
        <v>129.2465</v>
      </c>
      <c r="G5" s="17" t="n">
        <v>50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131</v>
      </c>
      <c r="B6" s="2" t="s">
        <v>132</v>
      </c>
      <c r="C6" s="41" t="n">
        <v>44651</v>
      </c>
      <c r="D6" s="42" t="n">
        <v>44805</v>
      </c>
      <c r="E6" s="17" t="n">
        <v>99.97</v>
      </c>
      <c r="F6" s="17" t="n">
        <v>94.99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131</v>
      </c>
      <c r="B7" s="2" t="s">
        <v>132</v>
      </c>
      <c r="C7" s="41" t="n">
        <v>44666</v>
      </c>
      <c r="D7" s="42" t="n">
        <v>44805</v>
      </c>
      <c r="E7" s="17" t="n">
        <v>95.47</v>
      </c>
      <c r="F7" s="17" t="n">
        <v>94.99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131</v>
      </c>
      <c r="B8" s="2" t="s">
        <v>132</v>
      </c>
      <c r="C8" s="41" t="n">
        <v>44715</v>
      </c>
      <c r="D8" s="42" t="n">
        <v>44805</v>
      </c>
      <c r="E8" s="17" t="n">
        <v>89.02</v>
      </c>
      <c r="F8" s="17" t="n">
        <v>94.99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131</v>
      </c>
      <c r="B9" s="2" t="s">
        <v>132</v>
      </c>
      <c r="C9" s="41" t="n">
        <v>44742</v>
      </c>
      <c r="D9" s="42" t="n">
        <v>44805</v>
      </c>
      <c r="E9" s="17" t="n">
        <v>87.82</v>
      </c>
      <c r="F9" s="17" t="n">
        <v>94.99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131</v>
      </c>
      <c r="B10" s="2" t="s">
        <v>132</v>
      </c>
      <c r="C10" s="41" t="n">
        <v>44830</v>
      </c>
      <c r="D10" s="42" t="n">
        <v>44838</v>
      </c>
      <c r="E10" s="17" t="n">
        <v>75.0575</v>
      </c>
      <c r="F10" s="17" t="n">
        <v>80.5925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534</v>
      </c>
      <c r="B11" s="2" t="s">
        <v>804</v>
      </c>
      <c r="C11" s="41" t="n">
        <v>44651</v>
      </c>
      <c r="D11" s="42" t="n">
        <v>45855</v>
      </c>
      <c r="E11" s="17" t="n">
        <v>138.783</v>
      </c>
      <c r="F11" s="17" t="n">
        <v>324.99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133</v>
      </c>
      <c r="B12" s="2" t="s">
        <v>134</v>
      </c>
      <c r="C12" s="41" t="n">
        <v>44655</v>
      </c>
      <c r="D12" s="42" t="n">
        <v>44658</v>
      </c>
      <c r="E12" s="17" t="n">
        <v>1.1262</v>
      </c>
      <c r="F12" s="17" t="n">
        <v>1.1286</v>
      </c>
      <c r="G12" s="17" t="n">
        <v>900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133</v>
      </c>
      <c r="B13" s="2" t="s">
        <v>134</v>
      </c>
      <c r="C13" s="41" t="n">
        <v>44655</v>
      </c>
      <c r="D13" s="42" t="n">
        <v>44659</v>
      </c>
      <c r="E13" s="17" t="n">
        <v>1.1262</v>
      </c>
      <c r="F13" s="17" t="n">
        <v>1.129</v>
      </c>
      <c r="G13" s="17" t="n">
        <v>700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133</v>
      </c>
      <c r="B14" s="2" t="s">
        <v>134</v>
      </c>
      <c r="C14" s="41" t="n">
        <v>44662</v>
      </c>
      <c r="D14" s="42" t="n">
        <v>44663</v>
      </c>
      <c r="E14" s="17" t="n">
        <v>1.13</v>
      </c>
      <c r="F14" s="17" t="n">
        <v>1.1306</v>
      </c>
      <c r="G14" s="17" t="n">
        <v>70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133</v>
      </c>
      <c r="B15" s="2" t="s">
        <v>134</v>
      </c>
      <c r="C15" s="41" t="n">
        <v>44662</v>
      </c>
      <c r="D15" s="42" t="n">
        <v>44694</v>
      </c>
      <c r="E15" s="17" t="n">
        <v>1.13</v>
      </c>
      <c r="F15" s="17" t="n">
        <v>1.1456</v>
      </c>
      <c r="G15" s="17" t="n">
        <v>310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133</v>
      </c>
      <c r="B16" s="2" t="s">
        <v>134</v>
      </c>
      <c r="C16" s="41" t="n">
        <v>44687</v>
      </c>
      <c r="D16" s="42" t="n">
        <v>44694</v>
      </c>
      <c r="E16" s="17" t="n">
        <v>1.1439</v>
      </c>
      <c r="F16" s="17" t="n">
        <v>1.1456</v>
      </c>
      <c r="G16" s="17" t="n">
        <v>1300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133</v>
      </c>
      <c r="B17" s="2" t="s">
        <v>134</v>
      </c>
      <c r="C17" s="41" t="n">
        <v>44697</v>
      </c>
      <c r="D17" s="42" t="n">
        <v>44700</v>
      </c>
      <c r="E17" s="17" t="n">
        <v>1.1463</v>
      </c>
      <c r="F17" s="17" t="n">
        <v>1.1484</v>
      </c>
      <c r="G17" s="17" t="n">
        <v>3200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133</v>
      </c>
      <c r="B18" s="2" t="s">
        <v>134</v>
      </c>
      <c r="C18" s="41" t="n">
        <v>44697</v>
      </c>
      <c r="D18" s="42" t="n">
        <v>44705</v>
      </c>
      <c r="E18" s="17" t="n">
        <v>1.1463</v>
      </c>
      <c r="F18" s="17" t="n">
        <v>1.1495</v>
      </c>
      <c r="G18" s="17" t="n">
        <v>1800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133</v>
      </c>
      <c r="B19" s="2" t="s">
        <v>134</v>
      </c>
      <c r="C19" s="41" t="n">
        <v>44697</v>
      </c>
      <c r="D19" s="42" t="n">
        <v>44712</v>
      </c>
      <c r="E19" s="17" t="n">
        <v>1.1463</v>
      </c>
      <c r="F19" s="17" t="n">
        <v>1.152</v>
      </c>
      <c r="G19" s="17" t="n">
        <v>300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133</v>
      </c>
      <c r="B20" s="2" t="s">
        <v>134</v>
      </c>
      <c r="C20" s="41" t="n">
        <v>44707</v>
      </c>
      <c r="D20" s="42" t="n">
        <v>44712</v>
      </c>
      <c r="E20" s="17" t="n">
        <v>1.1512</v>
      </c>
      <c r="F20" s="17" t="n">
        <v>1.152</v>
      </c>
      <c r="G20" s="17" t="n">
        <v>500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133</v>
      </c>
      <c r="B21" s="2" t="s">
        <v>134</v>
      </c>
      <c r="C21" s="41" t="n">
        <v>44707</v>
      </c>
      <c r="D21" s="42" t="n">
        <v>44713</v>
      </c>
      <c r="E21" s="17" t="n">
        <v>1.1512</v>
      </c>
      <c r="F21" s="17" t="n">
        <v>1.1523</v>
      </c>
      <c r="G21" s="17" t="n">
        <v>100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133</v>
      </c>
      <c r="B22" s="2" t="s">
        <v>134</v>
      </c>
      <c r="C22" s="41" t="n">
        <v>44707</v>
      </c>
      <c r="D22" s="42" t="n">
        <v>44714</v>
      </c>
      <c r="E22" s="17" t="n">
        <v>1.1512</v>
      </c>
      <c r="F22" s="17" t="n">
        <v>1.1533</v>
      </c>
      <c r="G22" s="17" t="n">
        <v>950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133</v>
      </c>
      <c r="B23" s="2" t="s">
        <v>134</v>
      </c>
      <c r="C23" s="41" t="n">
        <v>44707</v>
      </c>
      <c r="D23" s="42" t="n">
        <v>44727</v>
      </c>
      <c r="E23" s="17" t="n">
        <v>1.1512</v>
      </c>
      <c r="F23" s="17" t="n">
        <v>1.1567</v>
      </c>
      <c r="G23" s="17" t="n">
        <v>200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133</v>
      </c>
      <c r="B24" s="2" t="s">
        <v>134</v>
      </c>
      <c r="C24" s="41" t="n">
        <v>44726</v>
      </c>
      <c r="D24" s="42" t="n">
        <v>44727</v>
      </c>
      <c r="E24" s="17" t="n">
        <v>1.1565</v>
      </c>
      <c r="F24" s="17" t="n">
        <v>1.1567</v>
      </c>
      <c r="G24" s="17" t="n">
        <v>400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133</v>
      </c>
      <c r="B25" s="2" t="s">
        <v>134</v>
      </c>
      <c r="C25" s="41" t="n">
        <v>44726</v>
      </c>
      <c r="D25" s="42" t="n">
        <v>44734</v>
      </c>
      <c r="E25" s="17" t="n">
        <v>1.1565</v>
      </c>
      <c r="F25" s="17" t="n">
        <v>1.1588</v>
      </c>
      <c r="G25" s="17" t="n">
        <v>390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133</v>
      </c>
      <c r="B26" s="2" t="s">
        <v>134</v>
      </c>
      <c r="C26" s="41" t="n">
        <v>44726</v>
      </c>
      <c r="D26" s="42" t="n">
        <v>44740</v>
      </c>
      <c r="E26" s="17" t="n">
        <v>1.1565</v>
      </c>
      <c r="F26" s="17" t="n">
        <v>1.1601</v>
      </c>
      <c r="G26" s="17" t="n">
        <v>530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133</v>
      </c>
      <c r="B27" s="2" t="s">
        <v>134</v>
      </c>
      <c r="C27" s="41" t="n">
        <v>44727</v>
      </c>
      <c r="D27" s="42" t="n">
        <v>44740</v>
      </c>
      <c r="E27" s="17" t="n">
        <v>1.157</v>
      </c>
      <c r="F27" s="17" t="n">
        <v>1.1601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133</v>
      </c>
      <c r="B28" s="2" t="s">
        <v>134</v>
      </c>
      <c r="C28" s="41" t="n">
        <v>44739</v>
      </c>
      <c r="D28" s="42" t="n">
        <v>44740</v>
      </c>
      <c r="E28" s="17" t="n">
        <v>1.16</v>
      </c>
      <c r="F28" s="17" t="n">
        <v>1.1601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133</v>
      </c>
      <c r="B29" s="2" t="s">
        <v>134</v>
      </c>
      <c r="C29" s="41" t="n">
        <v>44739</v>
      </c>
      <c r="D29" s="42" t="n">
        <v>44742</v>
      </c>
      <c r="E29" s="17" t="n">
        <v>1.16</v>
      </c>
      <c r="F29" s="17" t="n">
        <v>1.1613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133</v>
      </c>
      <c r="B30" s="2" t="s">
        <v>134</v>
      </c>
      <c r="C30" s="41" t="n">
        <v>44740</v>
      </c>
      <c r="D30" s="42" t="n">
        <v>44742</v>
      </c>
      <c r="E30" s="17" t="n">
        <v>1.1603</v>
      </c>
      <c r="F30" s="17" t="n">
        <v>1.1613</v>
      </c>
      <c r="G30" s="17" t="n">
        <v>35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133</v>
      </c>
      <c r="B31" s="2" t="s">
        <v>134</v>
      </c>
      <c r="C31" s="41" t="n">
        <v>44749</v>
      </c>
      <c r="D31" s="42" t="n">
        <v>44761</v>
      </c>
      <c r="E31" s="17" t="n">
        <v>1.1635</v>
      </c>
      <c r="F31" s="17" t="n">
        <v>1.166</v>
      </c>
      <c r="G31" s="17" t="n">
        <v>350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133</v>
      </c>
      <c r="B32" s="2" t="s">
        <v>134</v>
      </c>
      <c r="C32" s="41" t="n">
        <v>44756</v>
      </c>
      <c r="D32" s="42" t="n">
        <v>44761</v>
      </c>
      <c r="E32" s="17" t="n">
        <v>1.1654</v>
      </c>
      <c r="F32" s="17" t="n">
        <v>1.166</v>
      </c>
      <c r="G32" s="17" t="n">
        <v>295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133</v>
      </c>
      <c r="B33" s="2" t="s">
        <v>134</v>
      </c>
      <c r="C33" s="41" t="n">
        <v>44756</v>
      </c>
      <c r="D33" s="42" t="n">
        <v>44763</v>
      </c>
      <c r="E33" s="17" t="n">
        <v>1.1654</v>
      </c>
      <c r="F33" s="17" t="n">
        <v>1.1671</v>
      </c>
      <c r="G33" s="17" t="n">
        <v>285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133</v>
      </c>
      <c r="B34" s="2" t="s">
        <v>134</v>
      </c>
      <c r="C34" s="41" t="n">
        <v>44757</v>
      </c>
      <c r="D34" s="42" t="n">
        <v>44763</v>
      </c>
      <c r="E34" s="17" t="n">
        <v>1.1655</v>
      </c>
      <c r="F34" s="17" t="n">
        <v>1.1671</v>
      </c>
      <c r="G34" s="17" t="n">
        <v>255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133</v>
      </c>
      <c r="B35" s="2" t="s">
        <v>134</v>
      </c>
      <c r="C35" s="41" t="n">
        <v>44757</v>
      </c>
      <c r="D35" s="42" t="n">
        <v>44767</v>
      </c>
      <c r="E35" s="17" t="n">
        <v>1.1655</v>
      </c>
      <c r="F35" s="17" t="n">
        <v>1.1676</v>
      </c>
      <c r="G35" s="17" t="n">
        <v>180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133</v>
      </c>
      <c r="B36" s="2" t="s">
        <v>134</v>
      </c>
      <c r="C36" s="41" t="n">
        <v>44757</v>
      </c>
      <c r="D36" s="42" t="n">
        <v>44771</v>
      </c>
      <c r="E36" s="17" t="n">
        <v>1.1655</v>
      </c>
      <c r="F36" s="17" t="n">
        <v>1.169</v>
      </c>
      <c r="G36" s="17" t="n">
        <v>320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133</v>
      </c>
      <c r="B37" s="2" t="s">
        <v>134</v>
      </c>
      <c r="C37" s="41" t="n">
        <v>44757</v>
      </c>
      <c r="D37" s="42" t="n">
        <v>44774</v>
      </c>
      <c r="E37" s="17" t="n">
        <v>1.1655</v>
      </c>
      <c r="F37" s="17" t="n">
        <v>1.1695</v>
      </c>
      <c r="G37" s="17" t="n">
        <v>95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133</v>
      </c>
      <c r="B38" s="2" t="s">
        <v>134</v>
      </c>
      <c r="C38" s="41" t="n">
        <v>44763</v>
      </c>
      <c r="D38" s="42" t="n">
        <v>44774</v>
      </c>
      <c r="E38" s="17" t="n">
        <v>1.1673</v>
      </c>
      <c r="F38" s="17" t="n">
        <v>1.1695</v>
      </c>
      <c r="G38" s="17" t="n">
        <v>30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133</v>
      </c>
      <c r="B39" s="2" t="s">
        <v>134</v>
      </c>
      <c r="C39" s="41" t="n">
        <v>44767</v>
      </c>
      <c r="D39" s="42" t="n">
        <v>44774</v>
      </c>
      <c r="E39" s="17" t="n">
        <v>1.1677</v>
      </c>
      <c r="F39" s="17" t="n">
        <v>1.1695</v>
      </c>
      <c r="G39" s="17" t="n">
        <v>155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133</v>
      </c>
      <c r="B40" s="2" t="s">
        <v>134</v>
      </c>
      <c r="C40" s="41" t="n">
        <v>44767</v>
      </c>
      <c r="D40" s="42" t="n">
        <v>44776</v>
      </c>
      <c r="E40" s="17" t="n">
        <v>1.1677</v>
      </c>
      <c r="F40" s="17" t="n">
        <v>1.17</v>
      </c>
      <c r="G40" s="17" t="n">
        <v>35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133</v>
      </c>
      <c r="B41" s="2" t="s">
        <v>134</v>
      </c>
      <c r="C41" s="41" t="n">
        <v>44768</v>
      </c>
      <c r="D41" s="42" t="n">
        <v>44776</v>
      </c>
      <c r="E41" s="17" t="n">
        <v>1.1678</v>
      </c>
      <c r="F41" s="17" t="n">
        <v>1.17</v>
      </c>
      <c r="G41" s="17" t="n">
        <v>18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133</v>
      </c>
      <c r="B42" s="2" t="s">
        <v>134</v>
      </c>
      <c r="C42" s="41" t="n">
        <v>44771</v>
      </c>
      <c r="D42" s="42" t="n">
        <v>44776</v>
      </c>
      <c r="E42" s="17" t="n">
        <v>1.169</v>
      </c>
      <c r="F42" s="17" t="n">
        <v>1.17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133</v>
      </c>
      <c r="B43" s="2" t="s">
        <v>134</v>
      </c>
      <c r="C43" s="41" t="n">
        <v>44771</v>
      </c>
      <c r="D43" s="42" t="n">
        <v>44791</v>
      </c>
      <c r="E43" s="17" t="n">
        <v>1.169</v>
      </c>
      <c r="F43" s="17" t="n">
        <v>1.174</v>
      </c>
      <c r="G43" s="17" t="n">
        <v>13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133</v>
      </c>
      <c r="B44" s="2" t="s">
        <v>134</v>
      </c>
      <c r="C44" s="41" t="n">
        <v>44777</v>
      </c>
      <c r="D44" s="42" t="n">
        <v>44791</v>
      </c>
      <c r="E44" s="17" t="n">
        <v>1.1707</v>
      </c>
      <c r="F44" s="17" t="n">
        <v>1.174</v>
      </c>
      <c r="G44" s="17" t="n">
        <v>94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133</v>
      </c>
      <c r="B45" s="2" t="s">
        <v>134</v>
      </c>
      <c r="C45" s="41" t="n">
        <v>44788</v>
      </c>
      <c r="D45" s="42" t="n">
        <v>44791</v>
      </c>
      <c r="E45" s="17" t="n">
        <v>1.1729</v>
      </c>
      <c r="F45" s="17" t="n">
        <v>1.174</v>
      </c>
      <c r="G45" s="17" t="n">
        <v>175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133</v>
      </c>
      <c r="B46" s="2" t="s">
        <v>134</v>
      </c>
      <c r="C46" s="41" t="n">
        <v>44789</v>
      </c>
      <c r="D46" s="42" t="n">
        <v>44791</v>
      </c>
      <c r="E46" s="17" t="n">
        <v>1.173</v>
      </c>
      <c r="F46" s="17" t="n">
        <v>1.174</v>
      </c>
      <c r="G46" s="17" t="n">
        <v>238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133</v>
      </c>
      <c r="B47" s="2" t="s">
        <v>134</v>
      </c>
      <c r="C47" s="41" t="n">
        <v>44789</v>
      </c>
      <c r="D47" s="42" t="n">
        <v>44792</v>
      </c>
      <c r="E47" s="17" t="n">
        <v>1.173</v>
      </c>
      <c r="F47" s="17" t="n">
        <v>1.1741</v>
      </c>
      <c r="G47" s="17" t="n">
        <v>747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133</v>
      </c>
      <c r="B48" s="2" t="s">
        <v>134</v>
      </c>
      <c r="C48" s="41" t="n">
        <v>44795</v>
      </c>
      <c r="D48" s="42" t="n">
        <v>44798</v>
      </c>
      <c r="E48" s="17" t="n">
        <v>1.1745</v>
      </c>
      <c r="F48" s="17" t="n">
        <v>1.1756</v>
      </c>
      <c r="G48" s="17" t="n">
        <v>50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133</v>
      </c>
      <c r="B49" s="2" t="s">
        <v>134</v>
      </c>
      <c r="C49" s="41" t="n">
        <v>44795</v>
      </c>
      <c r="D49" s="42" t="n">
        <v>44806</v>
      </c>
      <c r="E49" s="17" t="n">
        <v>1.1745</v>
      </c>
      <c r="F49" s="17" t="n">
        <v>1.1776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133</v>
      </c>
      <c r="B50" s="2" t="s">
        <v>134</v>
      </c>
      <c r="C50" s="41" t="n">
        <v>44798</v>
      </c>
      <c r="D50" s="42" t="n">
        <v>44806</v>
      </c>
      <c r="E50" s="17" t="n">
        <v>1.1755</v>
      </c>
      <c r="F50" s="17" t="n">
        <v>1.1776</v>
      </c>
      <c r="G50" s="17" t="n">
        <v>40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133</v>
      </c>
      <c r="B51" s="2" t="s">
        <v>134</v>
      </c>
      <c r="C51" s="41" t="n">
        <v>44803</v>
      </c>
      <c r="D51" s="42" t="n">
        <v>44806</v>
      </c>
      <c r="E51" s="17" t="n">
        <v>1.1764</v>
      </c>
      <c r="F51" s="17" t="n">
        <v>1.1776</v>
      </c>
      <c r="G51" s="17" t="n">
        <v>140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133</v>
      </c>
      <c r="B52" s="2" t="s">
        <v>134</v>
      </c>
      <c r="C52" s="41" t="n">
        <v>44805</v>
      </c>
      <c r="D52" s="42" t="n">
        <v>44806</v>
      </c>
      <c r="E52" s="17" t="n">
        <v>1.1775</v>
      </c>
      <c r="F52" s="17" t="n">
        <v>1.1776</v>
      </c>
      <c r="G52" s="17" t="n">
        <v>335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133</v>
      </c>
      <c r="B53" s="2" t="s">
        <v>134</v>
      </c>
      <c r="C53" s="41" t="n">
        <v>44809</v>
      </c>
      <c r="D53" s="42" t="n">
        <v>44820</v>
      </c>
      <c r="E53" s="17" t="n">
        <v>1.1779</v>
      </c>
      <c r="F53" s="17" t="n">
        <v>1.1809</v>
      </c>
      <c r="G53" s="17" t="n">
        <v>400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133</v>
      </c>
      <c r="B54" s="2" t="s">
        <v>134</v>
      </c>
      <c r="C54" s="41" t="n">
        <v>44810</v>
      </c>
      <c r="D54" s="42" t="n">
        <v>44820</v>
      </c>
      <c r="E54" s="17" t="n">
        <v>1.1781</v>
      </c>
      <c r="F54" s="17" t="n">
        <v>1.1809</v>
      </c>
      <c r="G54" s="17" t="n">
        <v>30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133</v>
      </c>
      <c r="B55" s="2" t="s">
        <v>134</v>
      </c>
      <c r="C55" s="41" t="n">
        <v>44810</v>
      </c>
      <c r="D55" s="42" t="n">
        <v>44830</v>
      </c>
      <c r="E55" s="17" t="n">
        <v>1.1781</v>
      </c>
      <c r="F55" s="17" t="n">
        <v>1.1825</v>
      </c>
      <c r="G55" s="17" t="n">
        <v>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133</v>
      </c>
      <c r="B56" s="2" t="s">
        <v>134</v>
      </c>
      <c r="C56" s="41" t="n">
        <v>44813</v>
      </c>
      <c r="D56" s="42" t="n">
        <v>44830</v>
      </c>
      <c r="E56" s="17" t="n">
        <v>1.1793</v>
      </c>
      <c r="F56" s="17" t="n">
        <v>1.1825</v>
      </c>
      <c r="G56" s="17" t="n">
        <v>178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133</v>
      </c>
      <c r="B57" s="2" t="s">
        <v>134</v>
      </c>
      <c r="C57" s="41" t="n">
        <v>44820</v>
      </c>
      <c r="D57" s="42" t="n">
        <v>44830</v>
      </c>
      <c r="E57" s="17" t="n">
        <v>1.181</v>
      </c>
      <c r="F57" s="17" t="n">
        <v>1.1825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133</v>
      </c>
      <c r="B58" s="2" t="s">
        <v>134</v>
      </c>
      <c r="C58" s="41" t="n">
        <v>44825</v>
      </c>
      <c r="D58" s="42" t="n">
        <v>44830</v>
      </c>
      <c r="E58" s="17" t="n">
        <v>1.1816</v>
      </c>
      <c r="F58" s="17" t="n">
        <v>1.1825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133</v>
      </c>
      <c r="B59" s="2" t="s">
        <v>134</v>
      </c>
      <c r="C59" s="41" t="n">
        <v>44838</v>
      </c>
      <c r="D59" s="42" t="n">
        <v>44872</v>
      </c>
      <c r="E59" s="17" t="n">
        <v>1.1846</v>
      </c>
      <c r="F59" s="17" t="n">
        <v>1.1923</v>
      </c>
      <c r="G59" s="17" t="n">
        <v>278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133</v>
      </c>
      <c r="B60" s="2" t="s">
        <v>134</v>
      </c>
      <c r="C60" s="41" t="n">
        <v>44861</v>
      </c>
      <c r="D60" s="42" t="n">
        <v>44872</v>
      </c>
      <c r="E60" s="17" t="n">
        <v>1.1903</v>
      </c>
      <c r="F60" s="17" t="n">
        <v>1.1923</v>
      </c>
      <c r="G60" s="17" t="n">
        <v>112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133</v>
      </c>
      <c r="B61" s="2" t="s">
        <v>134</v>
      </c>
      <c r="C61" s="41" t="n">
        <v>44861</v>
      </c>
      <c r="D61" s="42" t="n">
        <v>44873</v>
      </c>
      <c r="E61" s="17" t="n">
        <v>1.1903</v>
      </c>
      <c r="F61" s="17" t="n">
        <v>1.1926</v>
      </c>
      <c r="G61" s="17" t="n">
        <v>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133</v>
      </c>
      <c r="B62" s="2" t="s">
        <v>134</v>
      </c>
      <c r="C62" s="41" t="n">
        <v>44861</v>
      </c>
      <c r="D62" s="42" t="n">
        <v>44875</v>
      </c>
      <c r="E62" s="17" t="n">
        <v>1.1903</v>
      </c>
      <c r="F62" s="17" t="n">
        <v>1.1935</v>
      </c>
      <c r="G62" s="17" t="n">
        <v>213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133</v>
      </c>
      <c r="B63" s="2" t="s">
        <v>134</v>
      </c>
      <c r="C63" s="41" t="n">
        <v>44866</v>
      </c>
      <c r="D63" s="42" t="n">
        <v>44875</v>
      </c>
      <c r="E63" s="17" t="n">
        <v>1.1911</v>
      </c>
      <c r="F63" s="17" t="n">
        <v>1.1935</v>
      </c>
      <c r="G63" s="17" t="n">
        <v>112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133</v>
      </c>
      <c r="B64" s="2" t="s">
        <v>134</v>
      </c>
      <c r="C64" s="41" t="n">
        <v>44866</v>
      </c>
      <c r="D64" s="42" t="n">
        <v>44893</v>
      </c>
      <c r="E64" s="17" t="n">
        <v>1.1911</v>
      </c>
      <c r="F64" s="17" t="n">
        <v>1.197</v>
      </c>
      <c r="G64" s="17" t="n">
        <v>253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133</v>
      </c>
      <c r="B65" s="2" t="s">
        <v>134</v>
      </c>
      <c r="C65" s="41" t="n">
        <v>44868</v>
      </c>
      <c r="D65" s="42" t="n">
        <v>44893</v>
      </c>
      <c r="E65" s="17" t="n">
        <v>1.1925</v>
      </c>
      <c r="F65" s="17" t="n">
        <v>1.197</v>
      </c>
      <c r="G65" s="17" t="n">
        <v>20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133</v>
      </c>
      <c r="B66" s="2" t="s">
        <v>134</v>
      </c>
      <c r="C66" s="41" t="n">
        <v>44873</v>
      </c>
      <c r="D66" s="42" t="n">
        <v>44893</v>
      </c>
      <c r="E66" s="17" t="n">
        <v>1.1925</v>
      </c>
      <c r="F66" s="17" t="n">
        <v>1.197</v>
      </c>
      <c r="G66" s="17" t="n">
        <v>20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133</v>
      </c>
      <c r="B67" s="2" t="s">
        <v>134</v>
      </c>
      <c r="C67" s="41" t="n">
        <v>44923</v>
      </c>
      <c r="D67" s="42" t="n">
        <v>44931</v>
      </c>
      <c r="E67" s="17" t="n">
        <v>1.2039</v>
      </c>
      <c r="F67" s="17" t="n">
        <v>1.2065</v>
      </c>
      <c r="G67" s="17" t="n">
        <v>17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133</v>
      </c>
      <c r="B68" s="2" t="s">
        <v>134</v>
      </c>
      <c r="C68" s="41" t="n">
        <v>44923</v>
      </c>
      <c r="D68" s="42" t="n">
        <v>44937</v>
      </c>
      <c r="E68" s="17" t="n">
        <v>1.2039</v>
      </c>
      <c r="F68" s="17" t="n">
        <v>1.2073</v>
      </c>
      <c r="G68" s="17" t="n">
        <v>283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133</v>
      </c>
      <c r="B69" s="2" t="s">
        <v>134</v>
      </c>
      <c r="C69" s="41" t="n">
        <v>44924</v>
      </c>
      <c r="D69" s="42" t="n">
        <v>44937</v>
      </c>
      <c r="E69" s="17" t="n">
        <v>1.2049</v>
      </c>
      <c r="F69" s="17" t="n">
        <v>1.2073</v>
      </c>
      <c r="G69" s="17" t="n">
        <v>500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133</v>
      </c>
      <c r="B70" s="2" t="s">
        <v>134</v>
      </c>
      <c r="C70" s="41" t="n">
        <v>44930</v>
      </c>
      <c r="D70" s="42" t="n">
        <v>44937</v>
      </c>
      <c r="E70" s="17" t="n">
        <v>1.2058</v>
      </c>
      <c r="F70" s="17" t="n">
        <v>1.2073</v>
      </c>
      <c r="G70" s="17" t="n">
        <v>272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133</v>
      </c>
      <c r="B71" s="2" t="s">
        <v>134</v>
      </c>
      <c r="C71" s="41" t="n">
        <v>44930</v>
      </c>
      <c r="D71" s="42" t="n">
        <v>44960</v>
      </c>
      <c r="E71" s="17" t="n">
        <v>1.2058</v>
      </c>
      <c r="F71" s="17" t="n">
        <v>1.2125</v>
      </c>
      <c r="G71" s="17" t="n">
        <v>128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133</v>
      </c>
      <c r="B72" s="2" t="s">
        <v>134</v>
      </c>
      <c r="C72" s="41" t="n">
        <v>44950</v>
      </c>
      <c r="D72" s="42" t="n">
        <v>44960</v>
      </c>
      <c r="E72" s="17" t="n">
        <v>1.21</v>
      </c>
      <c r="F72" s="17" t="n">
        <v>1.2125</v>
      </c>
      <c r="G72" s="17" t="n">
        <v>72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133</v>
      </c>
      <c r="B73" s="2" t="s">
        <v>134</v>
      </c>
      <c r="C73" s="41" t="n">
        <v>44950</v>
      </c>
      <c r="D73" s="42" t="n">
        <v>45036</v>
      </c>
      <c r="E73" s="17" t="n">
        <v>1.21</v>
      </c>
      <c r="F73" s="17" t="n">
        <v>1.2298</v>
      </c>
      <c r="G73" s="17" t="n">
        <v>288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133</v>
      </c>
      <c r="B74" s="2" t="s">
        <v>134</v>
      </c>
      <c r="C74" s="41" t="n">
        <v>44956</v>
      </c>
      <c r="D74" s="42" t="n">
        <v>45036</v>
      </c>
      <c r="E74" s="17" t="n">
        <v>1.2112</v>
      </c>
      <c r="F74" s="17" t="n">
        <v>1.2298</v>
      </c>
      <c r="G74" s="17" t="n">
        <v>33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133</v>
      </c>
      <c r="B75" s="2" t="s">
        <v>134</v>
      </c>
      <c r="C75" s="41" t="n">
        <v>44960</v>
      </c>
      <c r="D75" s="42" t="n">
        <v>45036</v>
      </c>
      <c r="E75" s="17" t="n">
        <v>1.2126</v>
      </c>
      <c r="F75" s="17" t="n">
        <v>1.2298</v>
      </c>
      <c r="G75" s="17" t="n">
        <v>54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133</v>
      </c>
      <c r="B76" s="2" t="s">
        <v>134</v>
      </c>
      <c r="C76" s="41" t="n">
        <v>45002</v>
      </c>
      <c r="D76" s="42" t="n">
        <v>45036</v>
      </c>
      <c r="E76" s="17" t="n">
        <v>1.222</v>
      </c>
      <c r="F76" s="17" t="n">
        <v>1.2298</v>
      </c>
      <c r="G76" s="17" t="n">
        <v>635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133</v>
      </c>
      <c r="B77" s="2" t="s">
        <v>134</v>
      </c>
      <c r="C77" s="41" t="n">
        <v>45002</v>
      </c>
      <c r="D77" s="42" t="n">
        <v>45044</v>
      </c>
      <c r="E77" s="17" t="n">
        <v>1.222</v>
      </c>
      <c r="F77" s="17" t="n">
        <v>1.2317</v>
      </c>
      <c r="G77" s="17" t="n">
        <v>480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133</v>
      </c>
      <c r="B78" s="2" t="s">
        <v>134</v>
      </c>
      <c r="C78" s="41" t="n">
        <v>45002</v>
      </c>
      <c r="D78" s="42" t="n">
        <v>45083</v>
      </c>
      <c r="E78" s="17" t="n">
        <v>1.222</v>
      </c>
      <c r="F78" s="17" t="n">
        <v>1.24</v>
      </c>
      <c r="G78" s="17" t="n">
        <v>364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133</v>
      </c>
      <c r="B79" s="2" t="s">
        <v>134</v>
      </c>
      <c r="C79" s="41" t="n">
        <v>45076</v>
      </c>
      <c r="D79" s="42" t="n">
        <v>45083</v>
      </c>
      <c r="E79" s="17" t="n">
        <v>1.2385</v>
      </c>
      <c r="F79" s="17" t="n">
        <v>1.24</v>
      </c>
      <c r="G79" s="17" t="n">
        <v>116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133</v>
      </c>
      <c r="B80" s="2" t="s">
        <v>134</v>
      </c>
      <c r="C80" s="41" t="n">
        <v>45076</v>
      </c>
      <c r="D80" s="42" t="n">
        <v>45120</v>
      </c>
      <c r="E80" s="17" t="n">
        <v>1.2385</v>
      </c>
      <c r="F80" s="17" t="n">
        <v>1.2491</v>
      </c>
      <c r="G80" s="17" t="n">
        <v>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133</v>
      </c>
      <c r="B81" s="2" t="s">
        <v>134</v>
      </c>
      <c r="C81" s="41" t="n">
        <v>45091</v>
      </c>
      <c r="D81" s="42" t="n">
        <v>45120</v>
      </c>
      <c r="E81" s="17" t="n">
        <v>1.2419</v>
      </c>
      <c r="F81" s="17" t="n">
        <v>1.2491</v>
      </c>
      <c r="G81" s="17" t="n">
        <v>42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133</v>
      </c>
      <c r="B82" s="2" t="s">
        <v>134</v>
      </c>
      <c r="C82" s="41" t="n">
        <v>45092</v>
      </c>
      <c r="D82" s="42" t="n">
        <v>45120</v>
      </c>
      <c r="E82" s="17" t="n">
        <v>1.2426</v>
      </c>
      <c r="F82" s="17" t="n">
        <v>1.2491</v>
      </c>
      <c r="G82" s="17" t="n">
        <v>219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133</v>
      </c>
      <c r="B83" s="2" t="s">
        <v>134</v>
      </c>
      <c r="C83" s="41" t="n">
        <v>45092</v>
      </c>
      <c r="D83" s="42" t="n">
        <v>45196</v>
      </c>
      <c r="E83" s="17" t="n">
        <v>1.2426</v>
      </c>
      <c r="F83" s="17" t="n">
        <v>1.2743</v>
      </c>
      <c r="G83" s="17" t="n">
        <v>126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133</v>
      </c>
      <c r="B84" s="2" t="s">
        <v>134</v>
      </c>
      <c r="C84" s="41" t="n">
        <v>45107</v>
      </c>
      <c r="D84" s="42" t="n">
        <v>45196</v>
      </c>
      <c r="E84" s="17" t="n">
        <v>1.2457</v>
      </c>
      <c r="F84" s="17" t="n">
        <v>1.2743</v>
      </c>
      <c r="G84" s="17" t="n">
        <v>35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133</v>
      </c>
      <c r="B85" s="2" t="s">
        <v>134</v>
      </c>
      <c r="C85" s="41" t="n">
        <v>45119</v>
      </c>
      <c r="D85" s="42" t="n">
        <v>45196</v>
      </c>
      <c r="E85" s="17" t="n">
        <v>1.2484</v>
      </c>
      <c r="F85" s="17" t="n">
        <v>1.2743</v>
      </c>
      <c r="G85" s="17" t="n">
        <v>55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133</v>
      </c>
      <c r="B86" s="2" t="s">
        <v>134</v>
      </c>
      <c r="C86" s="41" t="n">
        <v>45121</v>
      </c>
      <c r="D86" s="42" t="n">
        <v>45196</v>
      </c>
      <c r="E86" s="17" t="n">
        <v>1.2494</v>
      </c>
      <c r="F86" s="17" t="n">
        <v>1.2743</v>
      </c>
      <c r="G86" s="17" t="n">
        <v>35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133</v>
      </c>
      <c r="B87" s="2" t="s">
        <v>134</v>
      </c>
      <c r="C87" s="41" t="n">
        <v>45133</v>
      </c>
      <c r="D87" s="42" t="n">
        <v>45196</v>
      </c>
      <c r="E87" s="17" t="n">
        <v>1.252</v>
      </c>
      <c r="F87" s="17" t="n">
        <v>1.2743</v>
      </c>
      <c r="G87" s="17" t="n">
        <v>25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133</v>
      </c>
      <c r="B88" s="2" t="s">
        <v>134</v>
      </c>
      <c r="C88" s="41" t="n">
        <v>45141</v>
      </c>
      <c r="D88" s="42" t="n">
        <v>45196</v>
      </c>
      <c r="E88" s="17" t="n">
        <v>1.2538</v>
      </c>
      <c r="F88" s="17" t="n">
        <v>1.2743</v>
      </c>
      <c r="G88" s="17" t="n">
        <v>65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133</v>
      </c>
      <c r="B89" s="2" t="s">
        <v>134</v>
      </c>
      <c r="C89" s="41" t="n">
        <v>45142</v>
      </c>
      <c r="D89" s="42" t="n">
        <v>45196</v>
      </c>
      <c r="E89" s="17" t="n">
        <v>1.2546</v>
      </c>
      <c r="F89" s="17" t="n">
        <v>1.2743</v>
      </c>
      <c r="G89" s="17" t="n">
        <v>29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133</v>
      </c>
      <c r="B90" s="2" t="s">
        <v>134</v>
      </c>
      <c r="C90" s="41" t="n">
        <v>45142</v>
      </c>
      <c r="D90" s="42" t="n">
        <v>45307</v>
      </c>
      <c r="E90" s="17" t="n">
        <v>1.2546</v>
      </c>
      <c r="F90" s="17" t="n">
        <v>1.3294</v>
      </c>
      <c r="G90" s="17" t="n">
        <v>27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133</v>
      </c>
      <c r="B91" s="2" t="s">
        <v>134</v>
      </c>
      <c r="C91" s="41" t="n">
        <v>45265</v>
      </c>
      <c r="D91" s="42" t="n">
        <v>45307</v>
      </c>
      <c r="E91" s="17" t="n">
        <v>1.3069</v>
      </c>
      <c r="F91" s="17" t="n">
        <v>1.3294</v>
      </c>
      <c r="G91" s="17" t="n">
        <v>11000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133</v>
      </c>
      <c r="B92" s="2" t="s">
        <v>134</v>
      </c>
      <c r="C92" s="41" t="n">
        <v>45266</v>
      </c>
      <c r="D92" s="42" t="n">
        <v>45307</v>
      </c>
      <c r="E92" s="17" t="n">
        <v>1.3074</v>
      </c>
      <c r="F92" s="17" t="n">
        <v>1.3294</v>
      </c>
      <c r="G92" s="17" t="n">
        <v>390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133</v>
      </c>
      <c r="B93" s="2" t="s">
        <v>134</v>
      </c>
      <c r="C93" s="41" t="n">
        <v>45267</v>
      </c>
      <c r="D93" s="42" t="n">
        <v>45307</v>
      </c>
      <c r="E93" s="17" t="n">
        <v>1.308</v>
      </c>
      <c r="F93" s="17" t="n">
        <v>1.3294</v>
      </c>
      <c r="G93" s="17" t="n">
        <v>35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133</v>
      </c>
      <c r="B94" s="2" t="s">
        <v>134</v>
      </c>
      <c r="C94" s="41" t="n">
        <v>45271</v>
      </c>
      <c r="D94" s="42" t="n">
        <v>45307</v>
      </c>
      <c r="E94" s="17" t="n">
        <v>1.3101</v>
      </c>
      <c r="F94" s="17" t="n">
        <v>1.3294</v>
      </c>
      <c r="G94" s="17" t="n">
        <v>1670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133</v>
      </c>
      <c r="B95" s="2" t="s">
        <v>134</v>
      </c>
      <c r="C95" s="41" t="n">
        <v>45272</v>
      </c>
      <c r="D95" s="42" t="n">
        <v>45307</v>
      </c>
      <c r="E95" s="17" t="n">
        <v>1.3105</v>
      </c>
      <c r="F95" s="17" t="n">
        <v>1.3294</v>
      </c>
      <c r="G95" s="17" t="n">
        <v>3248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133</v>
      </c>
      <c r="B96" s="2" t="s">
        <v>134</v>
      </c>
      <c r="C96" s="41" t="n">
        <v>45272</v>
      </c>
      <c r="D96" s="42" t="n">
        <v>45308</v>
      </c>
      <c r="E96" s="17" t="n">
        <v>1.3105</v>
      </c>
      <c r="F96" s="17" t="n">
        <v>1.3293</v>
      </c>
      <c r="G96" s="17" t="n">
        <v>3850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133</v>
      </c>
      <c r="B97" s="2" t="s">
        <v>134</v>
      </c>
      <c r="C97" s="41" t="n">
        <v>45272</v>
      </c>
      <c r="D97" s="42" t="n">
        <v>45321</v>
      </c>
      <c r="E97" s="17" t="n">
        <v>1.3105</v>
      </c>
      <c r="F97" s="17" t="n">
        <v>1.3374</v>
      </c>
      <c r="G97" s="17" t="n">
        <v>15902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133</v>
      </c>
      <c r="B98" s="2" t="s">
        <v>134</v>
      </c>
      <c r="C98" s="41" t="n">
        <v>45273</v>
      </c>
      <c r="D98" s="42" t="n">
        <v>45321</v>
      </c>
      <c r="E98" s="17" t="n">
        <v>1.311</v>
      </c>
      <c r="F98" s="17" t="n">
        <v>1.3374</v>
      </c>
      <c r="G98" s="17" t="n">
        <v>1538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133</v>
      </c>
      <c r="B99" s="2" t="s">
        <v>134</v>
      </c>
      <c r="C99" s="41" t="n">
        <v>45273</v>
      </c>
      <c r="D99" s="42" t="n">
        <v>45323</v>
      </c>
      <c r="E99" s="17" t="n">
        <v>1.311</v>
      </c>
      <c r="F99" s="17" t="n">
        <v>1.3384</v>
      </c>
      <c r="G99" s="17" t="n">
        <v>1200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133</v>
      </c>
      <c r="B100" s="2" t="s">
        <v>134</v>
      </c>
      <c r="C100" s="41" t="n">
        <v>45273</v>
      </c>
      <c r="D100" s="42" t="n">
        <v>45324</v>
      </c>
      <c r="E100" s="17" t="n">
        <v>1.311</v>
      </c>
      <c r="F100" s="17" t="n">
        <v>1.34</v>
      </c>
      <c r="G100" s="17" t="n">
        <v>28262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133</v>
      </c>
      <c r="B101" s="2" t="s">
        <v>134</v>
      </c>
      <c r="C101" s="41" t="n">
        <v>45274</v>
      </c>
      <c r="D101" s="42" t="n">
        <v>45324</v>
      </c>
      <c r="E101" s="17" t="n">
        <v>1.3109</v>
      </c>
      <c r="F101" s="17" t="n">
        <v>1.34</v>
      </c>
      <c r="G101" s="17" t="n">
        <v>46745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133</v>
      </c>
      <c r="B102" s="2" t="s">
        <v>134</v>
      </c>
      <c r="C102" s="41" t="n">
        <v>45274</v>
      </c>
      <c r="D102" s="42" t="n">
        <v>45327</v>
      </c>
      <c r="E102" s="17" t="n">
        <v>1.3109</v>
      </c>
      <c r="F102" s="17" t="n">
        <v>1.3397</v>
      </c>
      <c r="G102" s="17" t="n">
        <v>13503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133</v>
      </c>
      <c r="B103" s="2" t="s">
        <v>134</v>
      </c>
      <c r="C103" s="41" t="n">
        <v>45275</v>
      </c>
      <c r="D103" s="42" t="n">
        <v>45327</v>
      </c>
      <c r="E103" s="17" t="n">
        <v>1.3131</v>
      </c>
      <c r="F103" s="17" t="n">
        <v>1.3397</v>
      </c>
      <c r="G103" s="17" t="n">
        <v>9497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133</v>
      </c>
      <c r="B104" s="2" t="s">
        <v>134</v>
      </c>
      <c r="C104" s="41" t="n">
        <v>45275</v>
      </c>
      <c r="D104" s="42" t="n">
        <v>45341</v>
      </c>
      <c r="E104" s="17" t="n">
        <v>1.3131</v>
      </c>
      <c r="F104" s="17" t="n">
        <v>1.3484</v>
      </c>
      <c r="G104" s="17" t="n">
        <v>9500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133</v>
      </c>
      <c r="B105" s="2" t="s">
        <v>134</v>
      </c>
      <c r="C105" s="41" t="n">
        <v>45275</v>
      </c>
      <c r="D105" s="42" t="n">
        <v>45348</v>
      </c>
      <c r="E105" s="17" t="n">
        <v>1.3131</v>
      </c>
      <c r="F105" s="17" t="n">
        <v>1.3524</v>
      </c>
      <c r="G105" s="17" t="n">
        <v>5496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133</v>
      </c>
      <c r="B106" s="2" t="s">
        <v>134</v>
      </c>
      <c r="C106" s="41" t="n">
        <v>45275</v>
      </c>
      <c r="D106" s="42" t="n">
        <v>45365</v>
      </c>
      <c r="E106" s="17" t="n">
        <v>1.3131</v>
      </c>
      <c r="F106" s="17" t="n">
        <v>1.3621</v>
      </c>
      <c r="G106" s="17" t="n">
        <v>7054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133</v>
      </c>
      <c r="B107" s="2" t="s">
        <v>134</v>
      </c>
      <c r="C107" s="41" t="n">
        <v>45275</v>
      </c>
      <c r="D107" s="42" t="n">
        <v>45366</v>
      </c>
      <c r="E107" s="17" t="n">
        <v>1.3131</v>
      </c>
      <c r="F107" s="17" t="n">
        <v>1.364</v>
      </c>
      <c r="G107" s="17" t="n">
        <v>3710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133</v>
      </c>
      <c r="B108" s="2" t="s">
        <v>134</v>
      </c>
      <c r="C108" s="41" t="n">
        <v>45275</v>
      </c>
      <c r="D108" s="42" t="n">
        <v>45369</v>
      </c>
      <c r="E108" s="17" t="n">
        <v>1.3131</v>
      </c>
      <c r="F108" s="17" t="n">
        <v>1.3644</v>
      </c>
      <c r="G108" s="17" t="n">
        <v>13243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133</v>
      </c>
      <c r="B109" s="2" t="s">
        <v>134</v>
      </c>
      <c r="C109" s="41" t="n">
        <v>45278</v>
      </c>
      <c r="D109" s="42" t="n">
        <v>45369</v>
      </c>
      <c r="E109" s="17" t="n">
        <v>1.3135</v>
      </c>
      <c r="F109" s="17" t="n">
        <v>1.3644</v>
      </c>
      <c r="G109" s="17" t="n">
        <v>180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133</v>
      </c>
      <c r="B110" s="2" t="s">
        <v>134</v>
      </c>
      <c r="C110" s="41" t="n">
        <v>45279</v>
      </c>
      <c r="D110" s="42" t="n">
        <v>45369</v>
      </c>
      <c r="E110" s="17" t="n">
        <v>1.3143</v>
      </c>
      <c r="F110" s="17" t="n">
        <v>1.3644</v>
      </c>
      <c r="G110" s="17" t="n">
        <v>180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133</v>
      </c>
      <c r="B111" s="2" t="s">
        <v>134</v>
      </c>
      <c r="C111" s="41" t="n">
        <v>45280</v>
      </c>
      <c r="D111" s="42" t="n">
        <v>45369</v>
      </c>
      <c r="E111" s="17" t="n">
        <v>1.3148</v>
      </c>
      <c r="F111" s="17" t="n">
        <v>1.3644</v>
      </c>
      <c r="G111" s="17" t="n">
        <v>250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133</v>
      </c>
      <c r="B112" s="2" t="s">
        <v>134</v>
      </c>
      <c r="C112" s="41" t="n">
        <v>45286</v>
      </c>
      <c r="D112" s="42" t="n">
        <v>45369</v>
      </c>
      <c r="E112" s="17" t="n">
        <v>1.3181</v>
      </c>
      <c r="F112" s="17" t="n">
        <v>1.3644</v>
      </c>
      <c r="G112" s="17" t="n">
        <v>1190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133</v>
      </c>
      <c r="B113" s="2" t="s">
        <v>134</v>
      </c>
      <c r="C113" s="41" t="n">
        <v>45287</v>
      </c>
      <c r="D113" s="42" t="n">
        <v>45369</v>
      </c>
      <c r="E113" s="17" t="n">
        <v>1.3187</v>
      </c>
      <c r="F113" s="17" t="n">
        <v>1.3644</v>
      </c>
      <c r="G113" s="17" t="n">
        <v>1338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133</v>
      </c>
      <c r="B114" s="2" t="s">
        <v>134</v>
      </c>
      <c r="C114" s="41" t="n">
        <v>45287</v>
      </c>
      <c r="D114" s="42" t="n">
        <v>45379</v>
      </c>
      <c r="E114" s="17" t="n">
        <v>1.3187</v>
      </c>
      <c r="F114" s="17" t="n">
        <v>1.37</v>
      </c>
      <c r="G114" s="17" t="n">
        <v>4167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133</v>
      </c>
      <c r="B115" s="2" t="s">
        <v>134</v>
      </c>
      <c r="C115" s="41" t="n">
        <v>45288</v>
      </c>
      <c r="D115" s="42" t="n">
        <v>45379</v>
      </c>
      <c r="E115" s="17" t="n">
        <v>1.3203</v>
      </c>
      <c r="F115" s="17" t="n">
        <v>1.37</v>
      </c>
      <c r="G115" s="17" t="n">
        <v>1493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133</v>
      </c>
      <c r="B116" s="2" t="s">
        <v>134</v>
      </c>
      <c r="C116" s="41" t="n">
        <v>45288</v>
      </c>
      <c r="D116" s="42" t="n">
        <v>45391</v>
      </c>
      <c r="E116" s="17" t="n">
        <v>1.3203</v>
      </c>
      <c r="F116" s="17" t="n">
        <v>1.377</v>
      </c>
      <c r="G116" s="17" t="n">
        <v>14230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133</v>
      </c>
      <c r="B117" s="2" t="s">
        <v>134</v>
      </c>
      <c r="C117" s="41" t="n">
        <v>45288</v>
      </c>
      <c r="D117" s="42" t="n">
        <v>45401</v>
      </c>
      <c r="E117" s="17" t="n">
        <v>1.3203</v>
      </c>
      <c r="F117" s="17" t="n">
        <v>1.3831</v>
      </c>
      <c r="G117" s="17" t="n">
        <v>1150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133</v>
      </c>
      <c r="B118" s="2" t="s">
        <v>134</v>
      </c>
      <c r="C118" s="41" t="n">
        <v>45288</v>
      </c>
      <c r="D118" s="42" t="n">
        <v>45418</v>
      </c>
      <c r="E118" s="17" t="n">
        <v>1.3203</v>
      </c>
      <c r="F118" s="17" t="n">
        <v>1.3924</v>
      </c>
      <c r="G118" s="17" t="n">
        <v>2565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133</v>
      </c>
      <c r="B119" s="2" t="s">
        <v>134</v>
      </c>
      <c r="C119" s="41" t="n">
        <v>45288</v>
      </c>
      <c r="D119" s="42" t="n">
        <v>45429</v>
      </c>
      <c r="E119" s="17" t="n">
        <v>1.3203</v>
      </c>
      <c r="F119" s="17" t="n">
        <v>1.3998</v>
      </c>
      <c r="G119" s="17" t="n">
        <v>32782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133</v>
      </c>
      <c r="B120" s="2" t="s">
        <v>134</v>
      </c>
      <c r="C120" s="41" t="n">
        <v>45288</v>
      </c>
      <c r="D120" s="42" t="n">
        <v>45435</v>
      </c>
      <c r="E120" s="17" t="n">
        <v>1.3203</v>
      </c>
      <c r="F120" s="17" t="n">
        <v>1.4023</v>
      </c>
      <c r="G120" s="17" t="n">
        <v>414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133</v>
      </c>
      <c r="B121" s="2" t="s">
        <v>134</v>
      </c>
      <c r="C121" s="41" t="n">
        <v>45288</v>
      </c>
      <c r="D121" s="42" t="n">
        <v>45442</v>
      </c>
      <c r="E121" s="17" t="n">
        <v>1.3203</v>
      </c>
      <c r="F121" s="17" t="n">
        <v>1.4068</v>
      </c>
      <c r="G121" s="17" t="n">
        <v>2870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133</v>
      </c>
      <c r="B122" s="2" t="s">
        <v>134</v>
      </c>
      <c r="C122" s="41" t="n">
        <v>45288</v>
      </c>
      <c r="D122" s="42" t="n">
        <v>45446</v>
      </c>
      <c r="E122" s="17" t="n">
        <v>1.3203</v>
      </c>
      <c r="F122" s="17" t="n">
        <v>1.4091</v>
      </c>
      <c r="G122" s="17" t="n">
        <v>1853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133</v>
      </c>
      <c r="B123" s="2" t="s">
        <v>134</v>
      </c>
      <c r="C123" s="41" t="n">
        <v>45288</v>
      </c>
      <c r="D123" s="42" t="n">
        <v>45447</v>
      </c>
      <c r="E123" s="17" t="n">
        <v>1.3203</v>
      </c>
      <c r="F123" s="17" t="n">
        <v>1.4097</v>
      </c>
      <c r="G123" s="17" t="n">
        <v>3903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133</v>
      </c>
      <c r="B124" s="2" t="s">
        <v>134</v>
      </c>
      <c r="C124" s="41" t="n">
        <v>45288</v>
      </c>
      <c r="D124" s="42" t="n">
        <v>45454</v>
      </c>
      <c r="E124" s="17" t="n">
        <v>1.3203</v>
      </c>
      <c r="F124" s="17" t="n">
        <v>1.4148</v>
      </c>
      <c r="G124" s="17" t="n">
        <v>10220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133</v>
      </c>
      <c r="B125" s="2" t="s">
        <v>134</v>
      </c>
      <c r="C125" s="41" t="n">
        <v>45288</v>
      </c>
      <c r="D125" s="42" t="n">
        <v>45461</v>
      </c>
      <c r="E125" s="17" t="n">
        <v>1.3203</v>
      </c>
      <c r="F125" s="17" t="n">
        <v>1.4184</v>
      </c>
      <c r="G125" s="17" t="n">
        <v>7100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133</v>
      </c>
      <c r="B126" s="2" t="s">
        <v>134</v>
      </c>
      <c r="C126" s="41" t="n">
        <v>45288</v>
      </c>
      <c r="D126" s="42" t="n">
        <v>45463</v>
      </c>
      <c r="E126" s="17" t="n">
        <v>1.3203</v>
      </c>
      <c r="F126" s="17" t="n">
        <v>1.4193</v>
      </c>
      <c r="G126" s="17" t="n">
        <v>1690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133</v>
      </c>
      <c r="B127" s="2" t="s">
        <v>134</v>
      </c>
      <c r="C127" s="41" t="n">
        <v>45303</v>
      </c>
      <c r="D127" s="42" t="n">
        <v>45463</v>
      </c>
      <c r="E127" s="17" t="n">
        <v>1.3282</v>
      </c>
      <c r="F127" s="17" t="n">
        <v>1.4193</v>
      </c>
      <c r="G127" s="17" t="n">
        <v>130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133</v>
      </c>
      <c r="B128" s="2" t="s">
        <v>134</v>
      </c>
      <c r="C128" s="41" t="n">
        <v>45315</v>
      </c>
      <c r="D128" s="42" t="n">
        <v>45463</v>
      </c>
      <c r="E128" s="17" t="n">
        <v>1.334</v>
      </c>
      <c r="F128" s="17" t="n">
        <v>1.4193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133</v>
      </c>
      <c r="B129" s="2" t="s">
        <v>134</v>
      </c>
      <c r="C129" s="41" t="n">
        <v>45316</v>
      </c>
      <c r="D129" s="42" t="n">
        <v>45463</v>
      </c>
      <c r="E129" s="17" t="n">
        <v>1.3347</v>
      </c>
      <c r="F129" s="17" t="n">
        <v>1.4193</v>
      </c>
      <c r="G129" s="17" t="n">
        <v>68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133</v>
      </c>
      <c r="B130" s="2" t="s">
        <v>134</v>
      </c>
      <c r="C130" s="41" t="n">
        <v>45336</v>
      </c>
      <c r="D130" s="42" t="n">
        <v>45463</v>
      </c>
      <c r="E130" s="17" t="n">
        <v>1.346</v>
      </c>
      <c r="F130" s="17" t="n">
        <v>1.4193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133</v>
      </c>
      <c r="B131" s="2" t="s">
        <v>134</v>
      </c>
      <c r="C131" s="41" t="n">
        <v>45341</v>
      </c>
      <c r="D131" s="42" t="n">
        <v>45463</v>
      </c>
      <c r="E131" s="17" t="n">
        <v>1.3483</v>
      </c>
      <c r="F131" s="17" t="n">
        <v>1.4193</v>
      </c>
      <c r="G131" s="17" t="n">
        <v>66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133</v>
      </c>
      <c r="B132" s="2" t="s">
        <v>134</v>
      </c>
      <c r="C132" s="41" t="n">
        <v>45383</v>
      </c>
      <c r="D132" s="42" t="n">
        <v>45463</v>
      </c>
      <c r="E132" s="17" t="n">
        <v>1.3725</v>
      </c>
      <c r="F132" s="17" t="n">
        <v>1.4193</v>
      </c>
      <c r="G132" s="17" t="n">
        <v>450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133</v>
      </c>
      <c r="B133" s="2" t="s">
        <v>134</v>
      </c>
      <c r="C133" s="41" t="n">
        <v>45397</v>
      </c>
      <c r="D133" s="42" t="n">
        <v>45463</v>
      </c>
      <c r="E133" s="17" t="n">
        <v>1.3799</v>
      </c>
      <c r="F133" s="17" t="n">
        <v>1.4193</v>
      </c>
      <c r="G133" s="17" t="n">
        <v>120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133</v>
      </c>
      <c r="B134" s="2" t="s">
        <v>134</v>
      </c>
      <c r="C134" s="41" t="n">
        <v>45404</v>
      </c>
      <c r="D134" s="42" t="n">
        <v>45463</v>
      </c>
      <c r="E134" s="17" t="n">
        <v>1.384</v>
      </c>
      <c r="F134" s="17" t="n">
        <v>1.4193</v>
      </c>
      <c r="G134" s="17" t="n">
        <v>165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133</v>
      </c>
      <c r="B135" s="2" t="s">
        <v>134</v>
      </c>
      <c r="C135" s="41" t="n">
        <v>45409</v>
      </c>
      <c r="D135" s="42" t="n">
        <v>45463</v>
      </c>
      <c r="E135" s="17" t="n">
        <v>1.3878</v>
      </c>
      <c r="F135" s="17" t="n">
        <v>1.4193</v>
      </c>
      <c r="G135" s="17" t="n">
        <v>181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133</v>
      </c>
      <c r="B136" s="2" t="s">
        <v>134</v>
      </c>
      <c r="C136" s="41" t="n">
        <v>45409</v>
      </c>
      <c r="D136" s="42" t="n">
        <v>45464</v>
      </c>
      <c r="E136" s="17" t="n">
        <v>1.3878</v>
      </c>
      <c r="F136" s="17" t="n">
        <v>1.4211</v>
      </c>
      <c r="G136" s="17" t="n">
        <v>134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133</v>
      </c>
      <c r="B137" s="2" t="s">
        <v>134</v>
      </c>
      <c r="C137" s="41" t="n">
        <v>45414</v>
      </c>
      <c r="D137" s="42" t="n">
        <v>45464</v>
      </c>
      <c r="E137" s="17" t="n">
        <v>1.39</v>
      </c>
      <c r="F137" s="17" t="n">
        <v>1.4211</v>
      </c>
      <c r="G137" s="17" t="n">
        <v>53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133</v>
      </c>
      <c r="B138" s="2" t="s">
        <v>134</v>
      </c>
      <c r="C138" s="41" t="n">
        <v>45474</v>
      </c>
      <c r="D138" s="42" t="n">
        <v>45483</v>
      </c>
      <c r="E138" s="17" t="n">
        <v>1.426</v>
      </c>
      <c r="F138" s="17" t="n">
        <v>1.4314</v>
      </c>
      <c r="G138" s="17" t="n">
        <v>1770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133</v>
      </c>
      <c r="B139" s="2" t="s">
        <v>134</v>
      </c>
      <c r="C139" s="41" t="n">
        <v>45474</v>
      </c>
      <c r="D139" s="42" t="n">
        <v>45484</v>
      </c>
      <c r="E139" s="17" t="n">
        <v>1.426</v>
      </c>
      <c r="F139" s="17" t="n">
        <v>1.4321</v>
      </c>
      <c r="G139" s="17" t="n">
        <v>1160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133</v>
      </c>
      <c r="B140" s="2" t="s">
        <v>134</v>
      </c>
      <c r="C140" s="41" t="n">
        <v>45474</v>
      </c>
      <c r="D140" s="42" t="n">
        <v>45492</v>
      </c>
      <c r="E140" s="17" t="n">
        <v>1.426</v>
      </c>
      <c r="F140" s="17" t="n">
        <v>1.4384</v>
      </c>
      <c r="G140" s="17" t="n">
        <v>355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133</v>
      </c>
      <c r="B141" s="2" t="s">
        <v>134</v>
      </c>
      <c r="C141" s="41" t="n">
        <v>45491</v>
      </c>
      <c r="D141" s="42" t="n">
        <v>45492</v>
      </c>
      <c r="E141" s="17" t="n">
        <v>1.4367</v>
      </c>
      <c r="F141" s="17" t="n">
        <v>1.4384</v>
      </c>
      <c r="G141" s="17" t="n">
        <v>55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133</v>
      </c>
      <c r="B142" s="2" t="s">
        <v>134</v>
      </c>
      <c r="C142" s="41" t="n">
        <v>45491</v>
      </c>
      <c r="D142" s="42" t="n">
        <v>45503</v>
      </c>
      <c r="E142" s="17" t="n">
        <v>1.4367</v>
      </c>
      <c r="F142" s="17" t="n">
        <v>1.4439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133</v>
      </c>
      <c r="B143" s="2" t="s">
        <v>134</v>
      </c>
      <c r="C143" s="41" t="n">
        <v>45499</v>
      </c>
      <c r="D143" s="42" t="n">
        <v>45503</v>
      </c>
      <c r="E143" s="17" t="n">
        <v>1.4425</v>
      </c>
      <c r="F143" s="17" t="n">
        <v>1.4439</v>
      </c>
      <c r="G143" s="17" t="n">
        <v>470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133</v>
      </c>
      <c r="B144" s="2" t="s">
        <v>134</v>
      </c>
      <c r="C144" s="41" t="n">
        <v>45517</v>
      </c>
      <c r="D144" s="42" t="n">
        <v>45526</v>
      </c>
      <c r="E144" s="17" t="n">
        <v>1.4533</v>
      </c>
      <c r="F144" s="17" t="n">
        <v>1.4596</v>
      </c>
      <c r="G144" s="17" t="n">
        <v>370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133</v>
      </c>
      <c r="B145" s="2" t="s">
        <v>134</v>
      </c>
      <c r="C145" s="41" t="n">
        <v>45517</v>
      </c>
      <c r="D145" s="42" t="n">
        <v>45537</v>
      </c>
      <c r="E145" s="17" t="n">
        <v>1.4533</v>
      </c>
      <c r="F145" s="17" t="n">
        <v>1.467</v>
      </c>
      <c r="G145" s="17" t="n">
        <v>20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133</v>
      </c>
      <c r="B146" s="2" t="s">
        <v>134</v>
      </c>
      <c r="C146" s="41" t="n">
        <v>45551</v>
      </c>
      <c r="D146" s="42" t="n">
        <v>45593</v>
      </c>
      <c r="E146" s="17" t="n">
        <v>1.4776</v>
      </c>
      <c r="F146" s="17" t="n">
        <v>1.5085</v>
      </c>
      <c r="G146" s="17" t="n">
        <v>6620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133</v>
      </c>
      <c r="B147" s="2" t="s">
        <v>134</v>
      </c>
      <c r="C147" s="41" t="n">
        <v>45551</v>
      </c>
      <c r="D147" s="42" t="n">
        <v>45594</v>
      </c>
      <c r="E147" s="17" t="n">
        <v>1.4776</v>
      </c>
      <c r="F147" s="17" t="n">
        <v>1.509</v>
      </c>
      <c r="G147" s="17" t="n">
        <v>19380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133</v>
      </c>
      <c r="B148" s="2" t="s">
        <v>134</v>
      </c>
      <c r="C148" s="41" t="n">
        <v>45559</v>
      </c>
      <c r="D148" s="42" t="n">
        <v>45594</v>
      </c>
      <c r="E148" s="17" t="n">
        <v>1.4834</v>
      </c>
      <c r="F148" s="17" t="n">
        <v>1.509</v>
      </c>
      <c r="G148" s="17" t="n">
        <v>7450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133</v>
      </c>
      <c r="B149" s="2" t="s">
        <v>134</v>
      </c>
      <c r="C149" s="41" t="n">
        <v>45560</v>
      </c>
      <c r="D149" s="42" t="n">
        <v>45594</v>
      </c>
      <c r="E149" s="17" t="n">
        <v>1.4841</v>
      </c>
      <c r="F149" s="17" t="n">
        <v>1.509</v>
      </c>
      <c r="G149" s="17" t="n">
        <v>1150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133</v>
      </c>
      <c r="B150" s="2" t="s">
        <v>134</v>
      </c>
      <c r="C150" s="41" t="n">
        <v>45561</v>
      </c>
      <c r="D150" s="42" t="n">
        <v>45594</v>
      </c>
      <c r="E150" s="17" t="n">
        <v>1.4848</v>
      </c>
      <c r="F150" s="17" t="n">
        <v>1.509</v>
      </c>
      <c r="G150" s="17" t="n">
        <v>500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133</v>
      </c>
      <c r="B151" s="2" t="s">
        <v>134</v>
      </c>
      <c r="C151" s="41" t="n">
        <v>45565</v>
      </c>
      <c r="D151" s="42" t="n">
        <v>45594</v>
      </c>
      <c r="E151" s="17" t="n">
        <v>1.4878</v>
      </c>
      <c r="F151" s="17" t="n">
        <v>1.509</v>
      </c>
      <c r="G151" s="17" t="n">
        <v>270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133</v>
      </c>
      <c r="B152" s="2" t="s">
        <v>134</v>
      </c>
      <c r="C152" s="41" t="n">
        <v>45597</v>
      </c>
      <c r="D152" s="42" t="n">
        <v>45604</v>
      </c>
      <c r="E152" s="17" t="n">
        <v>1.5114</v>
      </c>
      <c r="F152" s="17" t="n">
        <v>1.5186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133</v>
      </c>
      <c r="B153" s="2" t="s">
        <v>134</v>
      </c>
      <c r="C153" s="41" t="n">
        <v>45602</v>
      </c>
      <c r="D153" s="42" t="n">
        <v>45604</v>
      </c>
      <c r="E153" s="17" t="n">
        <v>1.5154</v>
      </c>
      <c r="F153" s="17" t="n">
        <v>1.5186</v>
      </c>
      <c r="G153" s="17" t="n">
        <v>5680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133</v>
      </c>
      <c r="B154" s="2" t="s">
        <v>134</v>
      </c>
      <c r="C154" s="41" t="n">
        <v>45602</v>
      </c>
      <c r="D154" s="42" t="n">
        <v>45607</v>
      </c>
      <c r="E154" s="17" t="n">
        <v>1.5154</v>
      </c>
      <c r="F154" s="17" t="n">
        <v>1.5194</v>
      </c>
      <c r="G154" s="17" t="n">
        <v>2420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133</v>
      </c>
      <c r="B155" s="2" t="s">
        <v>134</v>
      </c>
      <c r="C155" s="41" t="n">
        <v>45603</v>
      </c>
      <c r="D155" s="42" t="n">
        <v>45607</v>
      </c>
      <c r="E155" s="17" t="n">
        <v>1.5163</v>
      </c>
      <c r="F155" s="17" t="n">
        <v>1.5194</v>
      </c>
      <c r="G155" s="17" t="n">
        <v>1280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133</v>
      </c>
      <c r="B156" s="2" t="s">
        <v>134</v>
      </c>
      <c r="C156" s="41" t="n">
        <v>45603</v>
      </c>
      <c r="D156" s="42" t="n">
        <v>45621</v>
      </c>
      <c r="E156" s="17" t="n">
        <v>1.5163</v>
      </c>
      <c r="F156" s="17" t="n">
        <v>1.5317</v>
      </c>
      <c r="G156" s="17" t="n">
        <v>2850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133</v>
      </c>
      <c r="B157" s="2" t="s">
        <v>134</v>
      </c>
      <c r="C157" s="41" t="n">
        <v>45603</v>
      </c>
      <c r="D157" s="42" t="n">
        <v>45685</v>
      </c>
      <c r="E157" s="17" t="n">
        <v>1.5163</v>
      </c>
      <c r="F157" s="17" t="n">
        <v>1.5873</v>
      </c>
      <c r="G157" s="17" t="n">
        <v>1020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133</v>
      </c>
      <c r="B158" s="2" t="s">
        <v>134</v>
      </c>
      <c r="C158" s="41" t="n">
        <v>45607</v>
      </c>
      <c r="D158" s="42" t="n">
        <v>45685</v>
      </c>
      <c r="E158" s="17" t="n">
        <v>1.5195</v>
      </c>
      <c r="F158" s="17" t="n">
        <v>1.5873</v>
      </c>
      <c r="G158" s="17" t="n">
        <v>270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133</v>
      </c>
      <c r="B159" s="2" t="s">
        <v>134</v>
      </c>
      <c r="C159" s="41" t="n">
        <v>45610</v>
      </c>
      <c r="D159" s="42" t="n">
        <v>45685</v>
      </c>
      <c r="E159" s="17" t="n">
        <v>1.5224</v>
      </c>
      <c r="F159" s="17" t="n">
        <v>1.5873</v>
      </c>
      <c r="G159" s="17" t="n">
        <v>325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133</v>
      </c>
      <c r="B160" s="2" t="s">
        <v>134</v>
      </c>
      <c r="C160" s="41" t="n">
        <v>45628</v>
      </c>
      <c r="D160" s="42" t="n">
        <v>45685</v>
      </c>
      <c r="E160" s="17" t="n">
        <v>1.5377</v>
      </c>
      <c r="F160" s="17" t="n">
        <v>1.5873</v>
      </c>
      <c r="G160" s="17" t="n">
        <v>250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133</v>
      </c>
      <c r="B161" s="2" t="s">
        <v>134</v>
      </c>
      <c r="C161" s="41" t="n">
        <v>45636</v>
      </c>
      <c r="D161" s="42" t="n">
        <v>45685</v>
      </c>
      <c r="E161" s="17" t="n">
        <v>1.5447</v>
      </c>
      <c r="F161" s="17" t="n">
        <v>1.5873</v>
      </c>
      <c r="G161" s="17" t="n">
        <v>55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133</v>
      </c>
      <c r="B162" s="2" t="s">
        <v>134</v>
      </c>
      <c r="C162" s="41" t="n">
        <v>45670</v>
      </c>
      <c r="D162" s="42" t="n">
        <v>45685</v>
      </c>
      <c r="E162" s="17" t="n">
        <v>1.5743</v>
      </c>
      <c r="F162" s="17" t="n">
        <v>1.5873</v>
      </c>
      <c r="G162" s="17" t="n">
        <v>570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133</v>
      </c>
      <c r="B163" s="2" t="s">
        <v>134</v>
      </c>
      <c r="C163" s="41" t="n">
        <v>45670</v>
      </c>
      <c r="D163" s="42" t="n">
        <v>45695</v>
      </c>
      <c r="E163" s="17" t="n">
        <v>1.5743</v>
      </c>
      <c r="F163" s="17" t="n">
        <v>1.5976</v>
      </c>
      <c r="G163" s="17" t="n">
        <v>1390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133</v>
      </c>
      <c r="B164" s="2" t="s">
        <v>134</v>
      </c>
      <c r="C164" s="41" t="n">
        <v>45691</v>
      </c>
      <c r="D164" s="42" t="n">
        <v>45695</v>
      </c>
      <c r="E164" s="17" t="n">
        <v>1.5926</v>
      </c>
      <c r="F164" s="17" t="n">
        <v>1.5976</v>
      </c>
      <c r="G164" s="17" t="n">
        <v>392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133</v>
      </c>
      <c r="B165" s="2" t="s">
        <v>134</v>
      </c>
      <c r="C165" s="41" t="n">
        <v>45695</v>
      </c>
      <c r="D165" s="42" t="n">
        <v>45695</v>
      </c>
      <c r="E165" s="17" t="n">
        <v>1.5977</v>
      </c>
      <c r="F165" s="17" t="n">
        <v>1.5976</v>
      </c>
      <c r="G165" s="17" t="n">
        <v>2118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133</v>
      </c>
      <c r="B166" s="2" t="s">
        <v>134</v>
      </c>
      <c r="C166" s="41" t="n">
        <v>45695</v>
      </c>
      <c r="D166" s="42" t="n">
        <v>45852</v>
      </c>
      <c r="E166" s="17" t="n">
        <v>1.5977</v>
      </c>
      <c r="F166" s="17" t="n">
        <v>1.7432</v>
      </c>
      <c r="G166" s="17" t="n">
        <v>122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133</v>
      </c>
      <c r="B167" s="2" t="s">
        <v>134</v>
      </c>
      <c r="C167" s="41" t="n">
        <v>45698</v>
      </c>
      <c r="D167" s="42" t="n">
        <v>45852</v>
      </c>
      <c r="E167" s="17" t="n">
        <v>1.5987</v>
      </c>
      <c r="F167" s="17" t="n">
        <v>1.7432</v>
      </c>
      <c r="G167" s="17" t="n">
        <v>75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133</v>
      </c>
      <c r="B168" s="2" t="s">
        <v>134</v>
      </c>
      <c r="C168" s="41" t="n">
        <v>45700</v>
      </c>
      <c r="D168" s="42" t="n">
        <v>45852</v>
      </c>
      <c r="E168" s="17" t="n">
        <v>1.6005</v>
      </c>
      <c r="F168" s="17" t="n">
        <v>1.7432</v>
      </c>
      <c r="G168" s="17" t="n">
        <v>410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133</v>
      </c>
      <c r="B169" s="2" t="s">
        <v>134</v>
      </c>
      <c r="C169" s="41" t="n">
        <v>45701</v>
      </c>
      <c r="D169" s="42" t="n">
        <v>45852</v>
      </c>
      <c r="E169" s="17" t="n">
        <v>1.6013</v>
      </c>
      <c r="F169" s="17" t="n">
        <v>1.7432</v>
      </c>
      <c r="G169" s="17" t="n">
        <v>30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133</v>
      </c>
      <c r="B170" s="2" t="s">
        <v>134</v>
      </c>
      <c r="C170" s="41" t="n">
        <v>45721</v>
      </c>
      <c r="D170" s="42" t="n">
        <v>45852</v>
      </c>
      <c r="E170" s="17" t="n">
        <v>1.6192</v>
      </c>
      <c r="F170" s="17" t="n">
        <v>1.7432</v>
      </c>
      <c r="G170" s="17" t="n">
        <v>350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133</v>
      </c>
      <c r="B171" s="2" t="s">
        <v>134</v>
      </c>
      <c r="C171" s="41" t="n">
        <v>45727</v>
      </c>
      <c r="D171" s="42" t="n">
        <v>45852</v>
      </c>
      <c r="E171" s="17" t="n">
        <v>1.6248</v>
      </c>
      <c r="F171" s="17" t="n">
        <v>1.7432</v>
      </c>
      <c r="G171" s="17" t="n">
        <v>250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133</v>
      </c>
      <c r="B172" s="2" t="s">
        <v>134</v>
      </c>
      <c r="C172" s="41" t="n">
        <v>45749</v>
      </c>
      <c r="D172" s="42" t="n">
        <v>45852</v>
      </c>
      <c r="E172" s="17" t="n">
        <v>1.6457</v>
      </c>
      <c r="F172" s="17" t="n">
        <v>1.7432</v>
      </c>
      <c r="G172" s="17" t="n">
        <v>250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133</v>
      </c>
      <c r="B173" s="2" t="s">
        <v>134</v>
      </c>
      <c r="C173" s="41" t="n">
        <v>45810</v>
      </c>
      <c r="D173" s="42" t="n">
        <v>45852</v>
      </c>
      <c r="E173" s="17" t="n">
        <v>1.7035</v>
      </c>
      <c r="F173" s="17" t="n">
        <v>1.7432</v>
      </c>
      <c r="G173" s="17" t="n">
        <v>300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133</v>
      </c>
      <c r="B174" s="2" t="s">
        <v>134</v>
      </c>
      <c r="C174" s="41" t="n">
        <v>45849</v>
      </c>
      <c r="D174" s="42" t="n">
        <v>45852</v>
      </c>
      <c r="E174" s="17" t="n">
        <v>1.7424</v>
      </c>
      <c r="F174" s="17" t="n">
        <v>1.7432</v>
      </c>
      <c r="G174" s="17" t="n">
        <v>1313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128</v>
      </c>
      <c r="B175" s="2" t="s">
        <v>129</v>
      </c>
      <c r="C175" s="41" t="n">
        <v>44657</v>
      </c>
      <c r="D175" s="42" t="n">
        <v>44893</v>
      </c>
      <c r="E175" s="17" t="n">
        <v>1.2241</v>
      </c>
      <c r="F175" s="17" t="n">
        <v>0.8766</v>
      </c>
      <c r="G175" s="17" t="n">
        <v>100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128</v>
      </c>
      <c r="B176" s="2" t="s">
        <v>129</v>
      </c>
      <c r="C176" s="41" t="n">
        <v>44658</v>
      </c>
      <c r="D176" s="42" t="n">
        <v>44893</v>
      </c>
      <c r="E176" s="17" t="n">
        <v>1.1851</v>
      </c>
      <c r="F176" s="17" t="n">
        <v>0.8766</v>
      </c>
      <c r="G176" s="17" t="n">
        <v>70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128</v>
      </c>
      <c r="B177" s="2" t="s">
        <v>129</v>
      </c>
      <c r="C177" s="41" t="n">
        <v>44673</v>
      </c>
      <c r="D177" s="42" t="n">
        <v>44893</v>
      </c>
      <c r="E177" s="17" t="n">
        <v>1.1882</v>
      </c>
      <c r="F177" s="17" t="n">
        <v>0.8766</v>
      </c>
      <c r="G177" s="17" t="n">
        <v>90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128</v>
      </c>
      <c r="B178" s="2" t="s">
        <v>129</v>
      </c>
      <c r="C178" s="41" t="n">
        <v>44676</v>
      </c>
      <c r="D178" s="42" t="n">
        <v>44893</v>
      </c>
      <c r="E178" s="17" t="n">
        <v>1.1702</v>
      </c>
      <c r="F178" s="17" t="n">
        <v>0.8766</v>
      </c>
      <c r="G178" s="17" t="n">
        <v>200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128</v>
      </c>
      <c r="B179" s="2" t="s">
        <v>129</v>
      </c>
      <c r="C179" s="41" t="n">
        <v>44677</v>
      </c>
      <c r="D179" s="42" t="n">
        <v>44893</v>
      </c>
      <c r="E179" s="17" t="n">
        <v>1.1401</v>
      </c>
      <c r="F179" s="17" t="n">
        <v>0.8766</v>
      </c>
      <c r="G179" s="17" t="n">
        <v>300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128</v>
      </c>
      <c r="B180" s="2" t="s">
        <v>129</v>
      </c>
      <c r="C180" s="41" t="n">
        <v>44678</v>
      </c>
      <c r="D180" s="42" t="n">
        <v>44893</v>
      </c>
      <c r="E180" s="17" t="n">
        <v>1.1301</v>
      </c>
      <c r="F180" s="17" t="n">
        <v>0.8766</v>
      </c>
      <c r="G180" s="17" t="n">
        <v>200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128</v>
      </c>
      <c r="B181" s="2" t="s">
        <v>129</v>
      </c>
      <c r="C181" s="41" t="n">
        <v>44685</v>
      </c>
      <c r="D181" s="42" t="n">
        <v>44893</v>
      </c>
      <c r="E181" s="17" t="n">
        <v>1.0902</v>
      </c>
      <c r="F181" s="17" t="n">
        <v>0.8766</v>
      </c>
      <c r="G181" s="17" t="n">
        <v>100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128</v>
      </c>
      <c r="B182" s="2" t="s">
        <v>129</v>
      </c>
      <c r="C182" s="41" t="n">
        <v>44686</v>
      </c>
      <c r="D182" s="42" t="n">
        <v>44893</v>
      </c>
      <c r="E182" s="17" t="n">
        <v>1.0602</v>
      </c>
      <c r="F182" s="17" t="n">
        <v>0.8766</v>
      </c>
      <c r="G182" s="17" t="n">
        <v>100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128</v>
      </c>
      <c r="B183" s="2" t="s">
        <v>129</v>
      </c>
      <c r="C183" s="41" t="n">
        <v>44693</v>
      </c>
      <c r="D183" s="42" t="n">
        <v>44893</v>
      </c>
      <c r="E183" s="17" t="n">
        <v>1.048</v>
      </c>
      <c r="F183" s="17" t="n">
        <v>0.8766</v>
      </c>
      <c r="G183" s="17" t="n">
        <v>80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128</v>
      </c>
      <c r="B184" s="2" t="s">
        <v>129</v>
      </c>
      <c r="C184" s="41" t="n">
        <v>44706</v>
      </c>
      <c r="D184" s="42" t="n">
        <v>44893</v>
      </c>
      <c r="E184" s="17" t="n">
        <v>0.9438</v>
      </c>
      <c r="F184" s="17" t="n">
        <v>0.8766</v>
      </c>
      <c r="G184" s="17" t="n">
        <v>600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128</v>
      </c>
      <c r="B185" s="2" t="s">
        <v>129</v>
      </c>
      <c r="C185" s="41" t="n">
        <v>44722</v>
      </c>
      <c r="D185" s="42" t="n">
        <v>44893</v>
      </c>
      <c r="E185" s="17" t="n">
        <v>0.9186</v>
      </c>
      <c r="F185" s="17" t="n">
        <v>0.8766</v>
      </c>
      <c r="G185" s="17" t="n">
        <v>200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128</v>
      </c>
      <c r="B186" s="2" t="s">
        <v>129</v>
      </c>
      <c r="C186" s="41" t="n">
        <v>44726</v>
      </c>
      <c r="D186" s="42" t="n">
        <v>44893</v>
      </c>
      <c r="E186" s="17" t="n">
        <v>0.8997</v>
      </c>
      <c r="F186" s="17" t="n">
        <v>0.8766</v>
      </c>
      <c r="G186" s="17" t="n">
        <v>220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128</v>
      </c>
      <c r="B187" s="2" t="s">
        <v>129</v>
      </c>
      <c r="C187" s="41" t="n">
        <v>44894</v>
      </c>
      <c r="D187" s="42" t="n">
        <v>44930</v>
      </c>
      <c r="E187" s="17" t="n">
        <v>0.8824</v>
      </c>
      <c r="F187" s="17" t="n">
        <v>1.0862</v>
      </c>
      <c r="G187" s="17" t="n">
        <v>300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535</v>
      </c>
      <c r="B188" s="2" t="s">
        <v>832</v>
      </c>
      <c r="C188" s="41" t="n">
        <v>44659</v>
      </c>
      <c r="D188" s="42" t="n">
        <v>44923</v>
      </c>
      <c r="E188" s="17" t="n">
        <v>36.179</v>
      </c>
      <c r="F188" s="17" t="n">
        <v>30.4405</v>
      </c>
      <c r="G188" s="17" t="n">
        <v>20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536</v>
      </c>
      <c r="B189" s="2" t="s">
        <v>807</v>
      </c>
      <c r="C189" s="41" t="n">
        <v>44659</v>
      </c>
      <c r="D189" s="42" t="n">
        <v>44960</v>
      </c>
      <c r="E189" s="17" t="n">
        <v>870.73</v>
      </c>
      <c r="F189" s="17" t="n">
        <v>1002.39</v>
      </c>
      <c r="G189" s="17" t="n">
        <v>1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86</v>
      </c>
      <c r="B190" s="2" t="s">
        <v>87</v>
      </c>
      <c r="C190" s="41" t="n">
        <v>44672</v>
      </c>
      <c r="D190" s="42" t="n">
        <v>44789</v>
      </c>
      <c r="E190" s="17" t="n">
        <v>890.54</v>
      </c>
      <c r="F190" s="17" t="n">
        <v>1157.3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34</v>
      </c>
      <c r="B191" s="2" t="s">
        <v>35</v>
      </c>
      <c r="C191" s="41" t="n">
        <v>44672</v>
      </c>
      <c r="D191" s="42" t="n">
        <v>44697</v>
      </c>
      <c r="E191" s="17" t="n">
        <v>3990.89</v>
      </c>
      <c r="F191" s="17" t="n">
        <v>4575.26</v>
      </c>
      <c r="G191" s="17" t="n">
        <v>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80</v>
      </c>
      <c r="B192" s="2" t="s">
        <v>81</v>
      </c>
      <c r="C192" s="41" t="n">
        <v>44707</v>
      </c>
      <c r="D192" s="42" t="n">
        <v>44726</v>
      </c>
      <c r="E192" s="17" t="n">
        <v>1.2357</v>
      </c>
      <c r="F192" s="17" t="n">
        <v>1.5171</v>
      </c>
      <c r="G192" s="17" t="n">
        <v>1000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100</v>
      </c>
      <c r="B193" s="2" t="s">
        <v>101</v>
      </c>
      <c r="C193" s="41" t="n">
        <v>44714</v>
      </c>
      <c r="D193" s="42" t="n">
        <v>44761</v>
      </c>
      <c r="E193" s="17" t="n">
        <v>0.093</v>
      </c>
      <c r="F193" s="17" t="n">
        <v>0.1028</v>
      </c>
      <c r="G193" s="17" t="n">
        <v>10000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537</v>
      </c>
      <c r="B194" s="2" t="s">
        <v>833</v>
      </c>
      <c r="C194" s="41" t="n">
        <v>44761</v>
      </c>
      <c r="D194" s="42" t="n">
        <v>44809</v>
      </c>
      <c r="E194" s="17" t="n">
        <v>35.201</v>
      </c>
      <c r="F194" s="17" t="n">
        <v>42.715</v>
      </c>
      <c r="G194" s="17" t="n">
        <v>10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537</v>
      </c>
      <c r="B195" s="2" t="s">
        <v>833</v>
      </c>
      <c r="C195" s="41" t="n">
        <v>44875</v>
      </c>
      <c r="D195" s="42" t="n">
        <v>44950</v>
      </c>
      <c r="E195" s="17" t="n">
        <v>38.021</v>
      </c>
      <c r="F195" s="17" t="n">
        <v>42.587</v>
      </c>
      <c r="G195" s="17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538</v>
      </c>
      <c r="B196" s="2" t="s">
        <v>834</v>
      </c>
      <c r="C196" s="41" t="n">
        <v>44767</v>
      </c>
      <c r="D196" s="42" t="n">
        <v>44767</v>
      </c>
      <c r="E196" s="17" t="n">
        <v>97.66</v>
      </c>
      <c r="F196" s="17" t="n">
        <v>99.74</v>
      </c>
      <c r="G196" s="17" t="n">
        <v>2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538</v>
      </c>
      <c r="B197" s="2" t="s">
        <v>834</v>
      </c>
      <c r="C197" s="41" t="n">
        <v>45435</v>
      </c>
      <c r="D197" s="42" t="n">
        <v>45461</v>
      </c>
      <c r="E197" s="17" t="n">
        <v>116.658</v>
      </c>
      <c r="F197" s="17" t="n">
        <v>131.834</v>
      </c>
      <c r="G197" s="17" t="n">
        <v>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538</v>
      </c>
      <c r="B198" s="2" t="s">
        <v>834</v>
      </c>
      <c r="C198" s="41" t="n">
        <v>45492</v>
      </c>
      <c r="D198" s="42" t="n">
        <v>45499</v>
      </c>
      <c r="E198" s="17" t="n">
        <v>117.76</v>
      </c>
      <c r="F198" s="17" t="n">
        <v>135.89</v>
      </c>
      <c r="G198" s="17" t="n">
        <v>5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538</v>
      </c>
      <c r="B199" s="2" t="s">
        <v>834</v>
      </c>
      <c r="C199" s="41" t="n">
        <v>45532</v>
      </c>
      <c r="D199" s="42" t="n">
        <v>45561</v>
      </c>
      <c r="E199" s="17" t="n">
        <v>113.39</v>
      </c>
      <c r="F199" s="17" t="n">
        <v>129.398</v>
      </c>
      <c r="G199" s="17" t="n">
        <v>5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538</v>
      </c>
      <c r="B200" s="2" t="s">
        <v>834</v>
      </c>
      <c r="C200" s="41" t="n">
        <v>45551</v>
      </c>
      <c r="D200" s="42" t="n">
        <v>45565</v>
      </c>
      <c r="E200" s="17" t="n">
        <v>108.7533</v>
      </c>
      <c r="F200" s="17" t="n">
        <v>134.2933</v>
      </c>
      <c r="G200" s="17" t="n">
        <v>3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538</v>
      </c>
      <c r="B201" s="2" t="s">
        <v>834</v>
      </c>
      <c r="C201" s="41" t="n">
        <v>45593</v>
      </c>
      <c r="D201" s="42" t="n">
        <v>45602</v>
      </c>
      <c r="E201" s="17" t="n">
        <v>109.7549</v>
      </c>
      <c r="F201" s="17" t="n">
        <v>130.6953</v>
      </c>
      <c r="G201" s="17" t="n">
        <v>90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40</v>
      </c>
      <c r="B202" s="2" t="s">
        <v>41</v>
      </c>
      <c r="C202" s="41" t="n">
        <v>44776</v>
      </c>
      <c r="D202" s="42" t="n">
        <v>44866</v>
      </c>
      <c r="E202" s="17" t="n">
        <v>383.93</v>
      </c>
      <c r="F202" s="17" t="n">
        <v>434.1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72</v>
      </c>
      <c r="B203" s="2" t="s">
        <v>73</v>
      </c>
      <c r="C203" s="41" t="n">
        <v>44791</v>
      </c>
      <c r="D203" s="42" t="n">
        <v>44792</v>
      </c>
      <c r="E203" s="17" t="n">
        <v>596.86</v>
      </c>
      <c r="F203" s="17" t="n">
        <v>614.12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72</v>
      </c>
      <c r="B204" s="2" t="s">
        <v>73</v>
      </c>
      <c r="C204" s="41" t="n">
        <v>44792</v>
      </c>
      <c r="D204" s="42" t="n">
        <v>44803</v>
      </c>
      <c r="E204" s="17" t="n">
        <v>591.36</v>
      </c>
      <c r="F204" s="17" t="n">
        <v>615.12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118</v>
      </c>
      <c r="B205" s="2" t="s">
        <v>119</v>
      </c>
      <c r="C205" s="41" t="n">
        <v>44795</v>
      </c>
      <c r="D205" s="42" t="n">
        <v>44797</v>
      </c>
      <c r="E205" s="17" t="n">
        <v>223.035</v>
      </c>
      <c r="F205" s="17" t="n">
        <v>228.765</v>
      </c>
      <c r="G205" s="17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540</v>
      </c>
      <c r="B206" s="2" t="s">
        <v>835</v>
      </c>
      <c r="C206" s="41" t="n">
        <v>44893</v>
      </c>
      <c r="D206" s="42" t="n">
        <v>44894</v>
      </c>
      <c r="E206" s="17" t="n">
        <v>132.6665</v>
      </c>
      <c r="F206" s="17" t="n">
        <v>133.933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540</v>
      </c>
      <c r="B207" s="2" t="s">
        <v>835</v>
      </c>
      <c r="C207" s="41" t="n">
        <v>44893</v>
      </c>
      <c r="D207" s="42" t="n">
        <v>44895</v>
      </c>
      <c r="E207" s="17" t="n">
        <v>132.6665</v>
      </c>
      <c r="F207" s="17" t="n">
        <v>135.192</v>
      </c>
      <c r="G207" s="17" t="n">
        <v>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22</v>
      </c>
      <c r="B208" s="2" t="s">
        <v>23</v>
      </c>
      <c r="C208" s="41" t="n">
        <v>44937</v>
      </c>
      <c r="D208" s="42" t="n">
        <v>45002</v>
      </c>
      <c r="E208" s="17" t="n">
        <v>146.187</v>
      </c>
      <c r="F208" s="17" t="n">
        <v>181.225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685</v>
      </c>
      <c r="B209" s="2" t="s">
        <v>685</v>
      </c>
      <c r="C209" s="41" t="n">
        <v>45272</v>
      </c>
      <c r="D209" s="42" t="n">
        <v>45573</v>
      </c>
      <c r="E209" s="17" t="n">
        <v>12.5858</v>
      </c>
      <c r="F209" s="17" t="n">
        <v>13.5209</v>
      </c>
      <c r="G209" s="17" t="n">
        <v>423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685</v>
      </c>
      <c r="B210" s="2" t="s">
        <v>685</v>
      </c>
      <c r="C210" s="41" t="n">
        <v>45272</v>
      </c>
      <c r="D210" s="42" t="n">
        <v>45622</v>
      </c>
      <c r="E210" s="17" t="n">
        <v>12.5858</v>
      </c>
      <c r="F210" s="17" t="n">
        <v>14.396</v>
      </c>
      <c r="G210" s="17" t="n">
        <v>500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544</v>
      </c>
      <c r="B211" s="2" t="s">
        <v>811</v>
      </c>
      <c r="C211" s="41" t="n">
        <v>45307</v>
      </c>
      <c r="D211" s="42" t="n">
        <v>45901</v>
      </c>
      <c r="E211" s="17" t="n">
        <v>1033.59</v>
      </c>
      <c r="F211" s="17" t="n">
        <v>122.23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123</v>
      </c>
      <c r="B212" s="2" t="s">
        <v>125</v>
      </c>
      <c r="C212" s="41" t="n">
        <v>45324</v>
      </c>
      <c r="D212" s="42" t="n">
        <v>45573</v>
      </c>
      <c r="E212" s="17" t="n">
        <v>134.6929</v>
      </c>
      <c r="F212" s="17" t="n">
        <v>153.813</v>
      </c>
      <c r="G212" s="17" t="n">
        <v>100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92</v>
      </c>
      <c r="B213" s="2" t="s">
        <v>93</v>
      </c>
      <c r="C213" s="41" t="n">
        <v>45380</v>
      </c>
      <c r="D213" s="42" t="n">
        <v>45380</v>
      </c>
      <c r="E213" s="17" t="n">
        <v>875.438</v>
      </c>
      <c r="F213" s="17" t="n">
        <v>993.204</v>
      </c>
      <c r="G213" s="17" t="n">
        <v>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546</v>
      </c>
      <c r="B214" s="2" t="s">
        <v>733</v>
      </c>
      <c r="C214" s="41" t="n">
        <v>45394</v>
      </c>
      <c r="D214" s="42" t="n">
        <v>45394</v>
      </c>
      <c r="E214" s="17" t="n">
        <v>235.118</v>
      </c>
      <c r="F214" s="17" t="n">
        <v>238.46</v>
      </c>
      <c r="G214" s="17" t="n">
        <v>10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547</v>
      </c>
      <c r="B215" s="2" t="s">
        <v>836</v>
      </c>
      <c r="C215" s="41" t="n">
        <v>45408</v>
      </c>
      <c r="D215" s="42" t="n">
        <v>45408</v>
      </c>
      <c r="E215" s="17" t="n">
        <v>2501.25</v>
      </c>
      <c r="F215" s="17" t="n">
        <v>2664.67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548</v>
      </c>
      <c r="B216" s="2" t="s">
        <v>805</v>
      </c>
      <c r="C216" s="41" t="n">
        <v>45467</v>
      </c>
      <c r="D216" s="42" t="n">
        <v>45901</v>
      </c>
      <c r="E216" s="17" t="n">
        <v>1192.504</v>
      </c>
      <c r="F216" s="17" t="n">
        <v>2160.07</v>
      </c>
      <c r="G216" s="17" t="n">
        <v>10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112</v>
      </c>
      <c r="B217" s="2" t="s">
        <v>113</v>
      </c>
      <c r="C217" s="41" t="n">
        <v>45506</v>
      </c>
      <c r="D217" s="42" t="n">
        <v>45517</v>
      </c>
      <c r="E217" s="17" t="n">
        <v>228.155</v>
      </c>
      <c r="F217" s="17" t="n">
        <v>263.85</v>
      </c>
      <c r="G217" s="17" t="n">
        <v>2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549</v>
      </c>
      <c r="B218" s="2" t="s">
        <v>837</v>
      </c>
      <c r="C218" s="41" t="n">
        <v>45537</v>
      </c>
      <c r="D218" s="42" t="n">
        <v>45755</v>
      </c>
      <c r="E218" s="17" t="n">
        <v>327.612</v>
      </c>
      <c r="F218" s="17" t="n">
        <v>404.676</v>
      </c>
      <c r="G218" s="17" t="n">
        <v>5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551</v>
      </c>
      <c r="B219" s="2" t="s">
        <v>838</v>
      </c>
      <c r="C219" s="41" t="n">
        <v>45685</v>
      </c>
      <c r="D219" s="42" t="n">
        <v>45695</v>
      </c>
      <c r="E219" s="17" t="n">
        <v>3972.67</v>
      </c>
      <c r="F219" s="17" t="n">
        <v>4230.11</v>
      </c>
      <c r="G219" s="17" t="n">
        <v>1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552</v>
      </c>
      <c r="B220" s="2" t="s">
        <v>839</v>
      </c>
      <c r="C220" s="41" t="n">
        <v>45695</v>
      </c>
      <c r="D220" s="42" t="n">
        <v>45700</v>
      </c>
      <c r="E220" s="17" t="n">
        <v>64.121</v>
      </c>
      <c r="F220" s="17" t="n">
        <v>66.747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2025-09-10T22:06:04.00Z</dcterms:created>
  <dc:creator>izi-invest.ru</dc:creator>
  <cp:revision>0</cp:revision>
</cp:coreProperties>
</file>