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<sst xmlns="http://schemas.openxmlformats.org/spreadsheetml/2006/main" count="10441" uniqueCount="930">
  <si>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</si>
  <si>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</si>
  <si>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</si>
  <si>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</si>
  <si>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</si>
  <si>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</si>
  <si>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</si>
  <si>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</si>
  <si>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</si>
  <si>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</si>
  <si>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</si>
  <si>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</si>
  <si>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</si>
  <si>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</si>
  <si>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</si>
  <si>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</si>
  <si>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RUR</t>
  </si>
  <si>
    <t>ROSN</t>
  </si>
  <si>
    <t>share</t>
  </si>
  <si>
    <t>Роснефть</t>
  </si>
  <si>
    <t>RUR</t>
  </si>
  <si>
    <t>AMD</t>
  </si>
  <si>
    <t>FIXR</t>
  </si>
  <si>
    <t>Фикс Прайс</t>
  </si>
  <si>
    <t>BYN</t>
  </si>
  <si>
    <t>SNGSP</t>
  </si>
  <si>
    <t>Сургнфгз-п</t>
  </si>
  <si>
    <t>CAD</t>
  </si>
  <si>
    <t>SBER</t>
  </si>
  <si>
    <t>Сбербанк</t>
  </si>
  <si>
    <t>CHF</t>
  </si>
  <si>
    <t>VTBR</t>
  </si>
  <si>
    <t>ВТБ ао</t>
  </si>
  <si>
    <t>CNY</t>
  </si>
  <si>
    <t>NMTP</t>
  </si>
  <si>
    <t>НМТП ао</t>
  </si>
  <si>
    <t>EUR</t>
  </si>
  <si>
    <t>GMKN</t>
  </si>
  <si>
    <t>ГМКНорНик</t>
  </si>
  <si>
    <t>GBP</t>
  </si>
  <si>
    <t>SVCB</t>
  </si>
  <si>
    <t>Совкомбанк</t>
  </si>
  <si>
    <t>GLD</t>
  </si>
  <si>
    <t>MGNT</t>
  </si>
  <si>
    <t>Магнит ао</t>
  </si>
  <si>
    <t>HKD</t>
  </si>
  <si>
    <t>GEMC</t>
  </si>
  <si>
    <t>МКПАО ЮМГ</t>
  </si>
  <si>
    <t>JPY</t>
  </si>
  <si>
    <t>SIBN</t>
  </si>
  <si>
    <t>Газпрнефть</t>
  </si>
  <si>
    <t>KZT</t>
  </si>
  <si>
    <t>NVTK</t>
  </si>
  <si>
    <t>Новатэк ао</t>
  </si>
  <si>
    <t>LKOH</t>
  </si>
  <si>
    <t>ЛУКОЙЛ</t>
  </si>
  <si>
    <t>SLV</t>
  </si>
  <si>
    <t>UGLD</t>
  </si>
  <si>
    <t>ЮГК</t>
  </si>
  <si>
    <t>TRY</t>
  </si>
  <si>
    <t>SNGS</t>
  </si>
  <si>
    <t>Сургнфгз</t>
  </si>
  <si>
    <t>UAH</t>
  </si>
  <si>
    <t>LENT</t>
  </si>
  <si>
    <t>Лента ао</t>
  </si>
  <si>
    <t>USD</t>
  </si>
  <si>
    <t>TRNFP</t>
  </si>
  <si>
    <t>Транснф ап</t>
  </si>
  <si>
    <t>AFKS</t>
  </si>
  <si>
    <t>Система ао</t>
  </si>
  <si>
    <t>FESH</t>
  </si>
  <si>
    <t>ДВМП ао</t>
  </si>
  <si>
    <t>TRMK</t>
  </si>
  <si>
    <t>ТМК ао</t>
  </si>
  <si>
    <t>NLMK</t>
  </si>
  <si>
    <t>НЛМК ао</t>
  </si>
  <si>
    <t>MOEX</t>
  </si>
  <si>
    <t>МосБиржа</t>
  </si>
  <si>
    <t>AQUA</t>
  </si>
  <si>
    <t>ИНАРКТИКА</t>
  </si>
  <si>
    <t>ALRS</t>
  </si>
  <si>
    <t>АЛРОСА ао</t>
  </si>
  <si>
    <t>UPRO</t>
  </si>
  <si>
    <t>Юнипро ао</t>
  </si>
  <si>
    <t>IVAT</t>
  </si>
  <si>
    <t>iИВА</t>
  </si>
  <si>
    <t>LEAS</t>
  </si>
  <si>
    <t>Европлан</t>
  </si>
  <si>
    <t>RTKM</t>
  </si>
  <si>
    <t>Ростел -ао</t>
  </si>
  <si>
    <t>IRAO</t>
  </si>
  <si>
    <t>ИнтерРАОао</t>
  </si>
  <si>
    <t>POSI</t>
  </si>
  <si>
    <t>iПозитив</t>
  </si>
  <si>
    <t>GAZP</t>
  </si>
  <si>
    <t>ГАЗПРОМ ао</t>
  </si>
  <si>
    <t>SELG</t>
  </si>
  <si>
    <t>Селигдар</t>
  </si>
  <si>
    <t>SFIN</t>
  </si>
  <si>
    <t>ЭсЭфАй ао</t>
  </si>
  <si>
    <t>CHMF</t>
  </si>
  <si>
    <t>СевСт-ао</t>
  </si>
  <si>
    <t>FEES</t>
  </si>
  <si>
    <t>Россети</t>
  </si>
  <si>
    <t>RUAL</t>
  </si>
  <si>
    <t>РУСАЛ ао</t>
  </si>
  <si>
    <t>ASTR</t>
  </si>
  <si>
    <t>iАстра ао</t>
  </si>
  <si>
    <t>LSRG</t>
  </si>
  <si>
    <t>ЛСР ао</t>
  </si>
  <si>
    <t>DSKY</t>
  </si>
  <si>
    <t>ДетскийМир</t>
  </si>
  <si>
    <t>MTLR</t>
  </si>
  <si>
    <t>Мечел ао</t>
  </si>
  <si>
    <t>WUSH</t>
  </si>
  <si>
    <t>iВУШХолднг</t>
  </si>
  <si>
    <t>MAGN</t>
  </si>
  <si>
    <t>ММК</t>
  </si>
  <si>
    <t>SGZH</t>
  </si>
  <si>
    <t>Сегежа</t>
  </si>
  <si>
    <t>Сумма по акциям:</t>
  </si>
  <si>
    <t>OBLG</t>
  </si>
  <si>
    <t>etf</t>
  </si>
  <si>
    <t>OBLG ETF</t>
  </si>
  <si>
    <t>EQMX</t>
  </si>
  <si>
    <t>EQMX ETF</t>
  </si>
  <si>
    <t>CNYM</t>
  </si>
  <si>
    <t>CNYM ETF</t>
  </si>
  <si>
    <t>LQDT</t>
  </si>
  <si>
    <t>LQDT ETF</t>
  </si>
  <si>
    <t>GOLD</t>
  </si>
  <si>
    <t>GOLD ETF</t>
  </si>
  <si>
    <t>средняя 1,045</t>
  </si>
  <si>
    <t>Сумма по фондам:</t>
  </si>
  <si>
    <t>SU26238RMFS4</t>
  </si>
  <si>
    <t>bond</t>
  </si>
  <si>
    <t>ОФЗ 26238</t>
  </si>
  <si>
    <t>2041-05-15</t>
  </si>
  <si>
    <t>SU26240RMFS0</t>
  </si>
  <si>
    <t>ОФЗ 26240</t>
  </si>
  <si>
    <t>2036-07-30</t>
  </si>
  <si>
    <t>SU26243RMFS4</t>
  </si>
  <si>
    <t>ОФЗ 26243</t>
  </si>
  <si>
    <t>2038-05-19</t>
  </si>
  <si>
    <t>SU26244RMFS2</t>
  </si>
  <si>
    <t>ОФЗ 26244</t>
  </si>
  <si>
    <t>2034-03-15</t>
  </si>
  <si>
    <t>RU000A1061K1</t>
  </si>
  <si>
    <t>ЕвроТранс3</t>
  </si>
  <si>
    <t>2027-03-14</t>
  </si>
  <si>
    <t>SU26221RMFS0</t>
  </si>
  <si>
    <t>ОФЗ 26221</t>
  </si>
  <si>
    <t>2033-03-23</t>
  </si>
  <si>
    <t>SU26246RMFS7</t>
  </si>
  <si>
    <t>ОФЗ 26246</t>
  </si>
  <si>
    <t>2036-03-12</t>
  </si>
  <si>
    <t>SU26237RMFS6</t>
  </si>
  <si>
    <t>ОФЗ 26237</t>
  </si>
  <si>
    <t>2029-03-14</t>
  </si>
  <si>
    <t>SU26241RMFS8</t>
  </si>
  <si>
    <t>ОФЗ 26241</t>
  </si>
  <si>
    <t>2032-11-17</t>
  </si>
  <si>
    <t>RU000A106EZ0</t>
  </si>
  <si>
    <t>ВИС Ф БП04</t>
  </si>
  <si>
    <t>2026-08-25</t>
  </si>
  <si>
    <t>SU26248RMFS3</t>
  </si>
  <si>
    <t>ОФЗ 26248</t>
  </si>
  <si>
    <t>2040-05-16</t>
  </si>
  <si>
    <t>SU26247RMFS5</t>
  </si>
  <si>
    <t>ОФЗ 26247</t>
  </si>
  <si>
    <t>2039-05-11</t>
  </si>
  <si>
    <t>RU000A1017J5</t>
  </si>
  <si>
    <t>Газпнф3P2R</t>
  </si>
  <si>
    <t>2029-12-07</t>
  </si>
  <si>
    <t>SU26219RMFS4</t>
  </si>
  <si>
    <t>ОФЗ 26219</t>
  </si>
  <si>
    <t>2026-09-16</t>
  </si>
  <si>
    <t>RU000A106UW3</t>
  </si>
  <si>
    <t>iКарРус1P3</t>
  </si>
  <si>
    <t>2027-08-18</t>
  </si>
  <si>
    <t>RU000A101CL5</t>
  </si>
  <si>
    <t>ФСК ЕЭС1Р4</t>
  </si>
  <si>
    <t>2035-01-11</t>
  </si>
  <si>
    <t>SU26254RMFS1</t>
  </si>
  <si>
    <t>ОФЗ 26254</t>
  </si>
  <si>
    <t>2040-10-03</t>
  </si>
  <si>
    <t>SU26236RMFS8</t>
  </si>
  <si>
    <t>ОФЗ 26236</t>
  </si>
  <si>
    <t>2028-05-17</t>
  </si>
  <si>
    <t>RU000A10BW96</t>
  </si>
  <si>
    <t>СамолетP18</t>
  </si>
  <si>
    <t>2029-06-06</t>
  </si>
  <si>
    <t>RU000A105VU7</t>
  </si>
  <si>
    <t>ЭталонФин1</t>
  </si>
  <si>
    <t>2038-02-03</t>
  </si>
  <si>
    <t>RU000A0JWYJ0</t>
  </si>
  <si>
    <t>Самолет 01</t>
  </si>
  <si>
    <t>2026-10-30</t>
  </si>
  <si>
    <t>RU000A102SX4</t>
  </si>
  <si>
    <t>Систем1P19</t>
  </si>
  <si>
    <t>2031-02-17</t>
  </si>
  <si>
    <t>RU000A10CZA1</t>
  </si>
  <si>
    <t>СамолетP20</t>
  </si>
  <si>
    <t>2026-09-28</t>
  </si>
  <si>
    <t>RU000A105KR6</t>
  </si>
  <si>
    <t>ВСК 1P-03R</t>
  </si>
  <si>
    <t>2027-11-30</t>
  </si>
  <si>
    <t>RU000A1055Y4</t>
  </si>
  <si>
    <t>ПочтаР2P04</t>
  </si>
  <si>
    <t>2032-08-25</t>
  </si>
  <si>
    <t>RU000A106HB4</t>
  </si>
  <si>
    <t>iВУШ 1P2</t>
  </si>
  <si>
    <t>2026-07-02</t>
  </si>
  <si>
    <t>RU000A1077X0</t>
  </si>
  <si>
    <t>ИнтЛиз1Р07</t>
  </si>
  <si>
    <t>2026-10-31</t>
  </si>
  <si>
    <t>RU000A104693</t>
  </si>
  <si>
    <t>Систем1P23</t>
  </si>
  <si>
    <t>2031-11-21</t>
  </si>
  <si>
    <t>RU000A106R79</t>
  </si>
  <si>
    <t>ЭНИКА 1Р04</t>
  </si>
  <si>
    <t>2028-08-10</t>
  </si>
  <si>
    <t>RU000A106R95</t>
  </si>
  <si>
    <t>iСелкт1Р3R</t>
  </si>
  <si>
    <t>2026-08-14</t>
  </si>
  <si>
    <t>RU000A0ZZ893</t>
  </si>
  <si>
    <t>КАМАЗ БО11</t>
  </si>
  <si>
    <t>2033-05-10</t>
  </si>
  <si>
    <t>RU000A1032P1</t>
  </si>
  <si>
    <t>ВТБРКС01</t>
  </si>
  <si>
    <t>2030-12-01</t>
  </si>
  <si>
    <t>RU000A101RJ7</t>
  </si>
  <si>
    <t>МБЭС 1P-02</t>
  </si>
  <si>
    <t>2030-06-03</t>
  </si>
  <si>
    <t>RU000A0ZYAP9</t>
  </si>
  <si>
    <t>ГТЛК 1P-06</t>
  </si>
  <si>
    <t>2032-09-01</t>
  </si>
  <si>
    <t>RU000A105G99</t>
  </si>
  <si>
    <t>РКСЭталон1</t>
  </si>
  <si>
    <t>2030-04-02</t>
  </si>
  <si>
    <t>RU000A106862</t>
  </si>
  <si>
    <t>ГарИнв2P06</t>
  </si>
  <si>
    <t>2030-07-30</t>
  </si>
  <si>
    <t>Сумма по облигациям: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</si>
  <si>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</si>
  <si>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</si>
  <si>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</si>
  <si>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</si>
  <si>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</si>
  <si>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</si>
  <si>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</si>
  <si>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</si>
  <si>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</si>
  <si>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</si>
  <si>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</si>
  <si>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</si>
  <si>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POSI - iПозитив 1шт. по 14.4 RUR - налог 2 RUR (данные из БД)</t>
  </si>
  <si>
    <t>Дивиденд по IRAO - ИнтерРАОао 100шт. по 0.24 RUR - налог 3 RUR (данные из БД)</t>
  </si>
  <si>
    <t>Дивиденд по ROSN - Роснефть 1шт. по 23.63 RUR - налог 3 RUR (данные из БД)</t>
  </si>
  <si>
    <t>Дивиденд по SNGSP - Сургнфгз-п 100шт. по 4.73 RUR - налог 61 RUR (данные из БД)</t>
  </si>
  <si>
    <t>Купон по RU000A101RP4 - Казахст01 1шт. по 26.93 RUR - налог 4 RUR (данные из БД)</t>
  </si>
  <si>
    <t>Дивиденд по GAZP - ГАЗПРОМ ао 10шт. по 51.03 RUR - налог 66 RUR (данные из БД)</t>
  </si>
  <si>
    <t>Дивиденд по RUAL - РУСАЛ ао 20шт. по 1.21 RUR - налог 3 RUR (данные из БД)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</si>
  <si>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</si>
  <si>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</si>
  <si>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ROSN - Роснефть 2шт. по 20.39 RUR - налог 5 RUR (данные из БД)</t>
  </si>
  <si>
    <t>Дивиденд по SBERP - Сбербанк-п 10шт. по 25 RUR - налог 33 RUR (данные из БД)</t>
  </si>
  <si>
    <t>Дивиденд по IRAO - ИнтерРАОао 200шт. по 0.28 RUR - налог 7 RUR (данные из БД)</t>
  </si>
  <si>
    <t>Дивиденд по LKOH - ЛУКОЙЛ 1шт. по 438 RUR - налог 57 RUR (данные из БД)</t>
  </si>
  <si>
    <t>Купон по RU000A101RJ7 - МБЭС 1P-02 1шт. по 30.92 RUR - налог 4 RUR (данные из БД)</t>
  </si>
  <si>
    <t>Дивиденд по MOEX - МосБиржа 10шт. по 4.84 RUR - налог 6 RUR (данные из БД)</t>
  </si>
  <si>
    <t>Дивиденд по LSRG - ЛСР ао 1шт. по 78 RUR - налог 10 RUR (данные из БД)</t>
  </si>
  <si>
    <t>Дивиденд по AQUA - ИНАРКТИКА 4шт. по 10 RUR - налог 5 RUR (данные из БД)</t>
  </si>
  <si>
    <t>Дивиденд по ROSN - Роснефть 2шт. по 17.97 RUR - налог 5 RUR (данные из БД)</t>
  </si>
  <si>
    <t>Дивиденд по AFKS - Система ао 200шт. по 0.41 RUR - налог 11 RUR (данные из БД)</t>
  </si>
  <si>
    <t>Дивиденд по SNGSP - Сургнфгз-п 100шт. по 0.8 RUR - налог 10 RUR (данные из БД)</t>
  </si>
  <si>
    <t>Дивиденд по AQUA - ИНАРКТИКА 4шт. по 16 RUR - налог 8 RUR (данные из БД)</t>
  </si>
  <si>
    <t>Дивиденд по ALRS - АЛРОСА ао 40шт. по 3.77 RUR - налог 20 RUR (данные из БД)</t>
  </si>
  <si>
    <t>Дивиденд по SELG - Селигдар 20шт. по 2 RUR - налог 5 RUR (данные из БД)</t>
  </si>
  <si>
    <t>Дивиденд по AQUA - ИНАРКТИКА 4шт. по 19 RUR - налог 10 RUR (данные из БД)</t>
  </si>
  <si>
    <t>Дивиденд по LKOH - ЛУКОЙЛ 1шт. по 447 RUR - налог 58 RUR (данные из БД)</t>
  </si>
  <si>
    <t>Купон по RU000A1061K1 - ЕвроТранс3 3шт. по 11.18 RUR - налог 4 RUR (данные из БД)</t>
  </si>
  <si>
    <t>Купон по RU000A106UW3 - iКарРус1P3 1шт. по 11.26 RUR - налог 1 RUR (данные из БД)</t>
  </si>
  <si>
    <t>Купон по RU000A105QL6 - КЛС БО-02 2шт. по 44.88 RUR - налог 12 RUR (данные из БД)</t>
  </si>
  <si>
    <t>Дивиденд по ROSN - Роснефть 3шт. по 30.77 RUR - налог 12 RUR (данные из БД)</t>
  </si>
  <si>
    <t>Купон по RU000A107E08 - ИЭКХолд1Р2 3шт. по 13.36 RUR - налог 5 RUR (данные из БД)</t>
  </si>
  <si>
    <t>Купон по RU000A106631 - АПРИФП 2Р2 2шт. по 44.88 RUR - налог 12 RUR (данные из БД)</t>
  </si>
  <si>
    <t>Прочий доход</t>
  </si>
  <si>
    <t>Купон по RU000A106862 - ГарИнв2P06 2шт. по 10.68 RUR - налог 3 RUR (данные из БД)</t>
  </si>
  <si>
    <t>Купон по RU000A1077X0 - ИнтЛиз1Р07 5шт. по 13.15 RUR - налог 9 RUR (данные из БД)</t>
  </si>
  <si>
    <t>Купон по RU000A106R79 - ЭНИКА 1Р04 5шт. по 39.89 RUR - налог 26 RUR (данные из БД)</t>
  </si>
  <si>
    <t>Купон по RU000A106R95 - iСелкт1Р3R 2шт. по 66.32 RUR - налог 17 RUR (данные из БД)</t>
  </si>
  <si>
    <t>Купон по RU000A105VP7 - РКК БО-01 2шт. по 47.37 RUR - налог 12 RUR (данные из БД)</t>
  </si>
  <si>
    <t>Купон по RU000A105VU7 - ЭталонФин1 4шт. по 34.16 RUR - налог 18 RUR (данные из БД)</t>
  </si>
  <si>
    <t>Купон по RU000A102SX4 - Систем1P19 5шт. по 18.32 RUR - налог 12 RUR (данные из БД)</t>
  </si>
  <si>
    <t>Купон по RU000A104693 - Систем1P23 3шт. по 24.81 RUR - налог 10 RUR (данные из БД)</t>
  </si>
  <si>
    <t>Купон по RU000A1032P1 - ВТБРКС01 7шт. по 6.36 RUR - налог 6 RUR (данные из БД)</t>
  </si>
  <si>
    <t>Купон по RU000A1055Y4 - ПочтаР2P04 5шт. по 46.12 RUR - налог 30 RUR (данные из БД)</t>
  </si>
  <si>
    <t>Амортизация ГТЛК 1P-06: 1 шт. по 15.09 RUR.  (данные из БД)</t>
  </si>
  <si>
    <t>Купон по RU000A103NY1 - РН БАНК1Р9 3шт. по 39.36 RUR - налог 15 RUR (данные из БД)</t>
  </si>
  <si>
    <t>Купон по RU000A0ZYAP9 - ГТЛК 1P-06 1шт. по 28.25 RUR - налог 4 RUR (данные из БД)</t>
  </si>
  <si>
    <t>Част.погаш.номин. обл. АО ГТЛК 4B02-06-32432-H-001P, И988153, частичное досроч. погашение . Вел.погаш. части ном.на 1 обл. 15.09 (данные из сделок)</t>
  </si>
  <si>
    <t>Купон по SU26237RMFS6 - ОФЗ 26237 15шт. по 33.41 RUR - налог 65 RUR (данные из БД)</t>
  </si>
  <si>
    <t>Купон по SU26219RMFS4 - ОФЗ 26219 15шт. по 38.64 RUR - налог 75 RUR (данные из БД)</t>
  </si>
  <si>
    <t>Дивиденд по NVTK - Новатэк ао 5шт. по 44.09 RUR - налог 29 RUR (данные из БД)</t>
  </si>
  <si>
    <t>Купон по RU000A105PR5 - ИЭКХолд1Р1 2шт. по 31.66 RUR - налог 8 RUR (данные из БД)</t>
  </si>
  <si>
    <t>Купон по SU26244RMFS2 - ОФЗ 26244 10шт. по 47.47 RUR - налог 62 RUR (данные из БД)</t>
  </si>
  <si>
    <t>Купон по RU000A1058M3 - БалтЛизБП6 2шт. по 54.35 RUR - налог 14 RUR (данные из БД)</t>
  </si>
  <si>
    <t>Купон по RU000A1032P1 - ВТБРКС01 7шт. по 6.79 RUR - налог 6 RUR (данные из БД)</t>
  </si>
  <si>
    <t>Купон по SU26221RMFS0 - ОФЗ 26221 10шт. по 38.39 RUR - налог 50 RUR (данные из БД)</t>
  </si>
  <si>
    <t>Купон по RU000A106HB4 - iВУШ 1P2 4шт. по 29.42 RUR - налог 15 RUR (данные из БД)</t>
  </si>
  <si>
    <t>Купон по RU000A1077X0 - ИнтЛиз1Р07 10шт. по 13.15 RUR - налог 17 RUR (данные из БД)</t>
  </si>
  <si>
    <t>Купон по RU000A101CL5 - ФСК ЕЭС1Р4 7шт. по 16.83 RUR - налог 15 RUR (данные из БД)</t>
  </si>
  <si>
    <t>Купон по RU000A1032P1 - ВТБРКС01 7шт. по 6.58 RUR - налог 6 RUR (данные из БД)</t>
  </si>
  <si>
    <t>Дивиденд по LSRG - ЛСР ао 1шт. по 100 RUR - налог 13 RUR (данные из БД)</t>
  </si>
  <si>
    <t>Дивиденд по LKOH - ЛУКОЙЛ 1шт. по 498 RUR - налог 65 RUR (данные из БД)</t>
  </si>
  <si>
    <t>Купон по SU26229RMFS3 - ОФЗ 26229 10шт. по 35.65 RUR - налог 46 RUR (данные из БД)</t>
  </si>
  <si>
    <t>Купон по RU000A0ZZ893 - КАМАЗ БО11 2шт. по 63.14 RUR - налог 16 RUR (данные из БД)</t>
  </si>
  <si>
    <t>Купон по RU000A106EZ0 - ВИС Ф БП04 10шт. по 32.16 RUR - налог 42 RUR (данные из БД)</t>
  </si>
  <si>
    <t>Дивиденд по ALRS - АЛРОСА ао 40шт. по 2.02 RUR - налог 11 RUR (данные из БД)</t>
  </si>
  <si>
    <t>Дивиденд по IRAO - ИнтерРАОао 300шт. по 0.33 RUR - налог 13 RUR (данные из БД)</t>
  </si>
  <si>
    <t>Купон по SU26238RMFS4 - ОФЗ 26238 27шт. по 35.4 RUR - налог 124 RUR (данные из БД)</t>
  </si>
  <si>
    <t>Дивиденд по MAGN - ММК 10шт. по 2.75 RUR - налог 4 RUR (данные из БД)</t>
  </si>
  <si>
    <t>Амортизация ГТЛК 1P-06: 1 шт. по 15.39 RUR.  (данные из БД)</t>
  </si>
  <si>
    <t>Купон по RU000A0ZYAP9 - ГТЛК 1P-06 1шт. по 29.3 RUR - налог 4 RUR (данные из БД)</t>
  </si>
  <si>
    <t>Част.погаш.номин. обл. АО ГТЛК 4B02-06-32432-H-001P, И988153, частичное досроч. погашение . Вел.погаш. части ном.на 1 обл. 15.39 (данные из сделок)</t>
  </si>
  <si>
    <t>Купон по RU000A1017J5 - Газпнф3P2R 7шт. по 17.83 RUR - налог 16 RUR (данные из БД)</t>
  </si>
  <si>
    <t>Дивиденд по MOEX - МосБиржа 10шт. по 17.35 RUR - налог 23 RUR (данные из БД)</t>
  </si>
  <si>
    <t>Дивиденд по CHMF - СевСт-ао 1шт. по 38.3 RUR - налог 5 RUR (данные из БД)</t>
  </si>
  <si>
    <t>Дивиденд по CHMF - СевСт-ао 1шт. по 191.51 RUR - налог 25 RUR (данные из БД)</t>
  </si>
  <si>
    <t>Амортизация ВТБРКС01: 7 шт. по 57.73 RUR.  (данные из БД)</t>
  </si>
  <si>
    <t>Част.погаш.номин. обл. ООО СФО ВТБ РКС-1 4-01-00586-R, И988153, частичное досроч. погашение . Вел.погаш. части ном.на 1 обл. 57. (данные из сделок)</t>
  </si>
  <si>
    <t>Дивиденд по ROSN - Роснефть 3шт. по 29.01 RUR - налог 11 RUR (данные из БД)</t>
  </si>
  <si>
    <t>Дивиденд по ASTR - iАстра ао 3шт. по 7.89 RUR - налог 3 RUR (данные из БД)</t>
  </si>
  <si>
    <t>Дивиденд по ELMT - iЭлемент 22000шт. по 0 RUR - налог 5 RUR (данные из БД)</t>
  </si>
  <si>
    <t>Дивиденд по SBERP - Сбербанк-п 10шт. по 33.3 RUR - налог 43 RUR (данные из БД)</t>
  </si>
  <si>
    <t>Дивиденд по MGNT - Магнит ао 1шт. по 412.13 RUR - налог 54 RUR (данные из БД)</t>
  </si>
  <si>
    <t>Дивиденд по AFKS - Система ао 200шт. по 0.52 RUR - налог 14 RUR (данные из БД)</t>
  </si>
  <si>
    <t>Дивиденд по SNGSP - Сургнфгз-п 100шт. по 12.29 RUR - налог 160 RUR (данные из БД)</t>
  </si>
  <si>
    <t>Дивиденд по SNGS - Сургнфгз 200шт. по 0.85 RUR - налог 22 RUR (данные из БД)</t>
  </si>
  <si>
    <t>Дивиденд по TRNFP - Транснф ап 2шт. по 177.2 RUR - налог 46 RUR (данные из БД)</t>
  </si>
  <si>
    <t>Купон по RU000A1061K1 - ЕвроТранс3 8шт. по 11.18 RUR - налог 12 RUR (данные из БД)</t>
  </si>
  <si>
    <t>Амортизация ВТБРКС01: 7 шт. по 50.5 RUR.  (данные из БД)</t>
  </si>
  <si>
    <t>Купон по RU000A1032P1 - ВТБРКС01 7шт. по 6.4 RUR - налог 6 RUR (данные из БД)</t>
  </si>
  <si>
    <t>Част.погаш.номин. обл. ООО СФО ВТБ РКС-1 4-01-00586-R, И988153, частичное досроч. погашение . Вел.погаш. части ном.на 1 обл. 50. (данные из сделок)</t>
  </si>
  <si>
    <t>Амортизация РКСЭталон1: 10 шт. по 41.25 RUR.  (данные из БД)</t>
  </si>
  <si>
    <t>Част.погаш.номин. обл. ООО СФО ВТБ РКС Эталон 4-01-00668-R-001P, И988153, частичное досроч. погашение . Вел.погаш. части ном.на  (данные из сделок)</t>
  </si>
  <si>
    <t>Купон по RU000A105G99 - РКСЭталон1 10шт. по 6.14 RUR - налог 8 RUR (данные из БД)</t>
  </si>
  <si>
    <t>Купон по RU000A106UW3 - iКарРус1P3 4шт. по 11.26 RUR - налог 6 RUR (данные из БД)</t>
  </si>
  <si>
    <t>Купон по SU26240RMFS0 - ОФЗ 26240 80шт. по 34.9 RUR - налог 363 RUR (данные из БД)</t>
  </si>
  <si>
    <t>Купон по RU000A105VP7 - РКК БО-01 2шт. по 8 RUR - налог 2 RUR (данные из БД)</t>
  </si>
  <si>
    <t>Купон по RU000A105VU7 - ЭталонФин1 5шт. по 34.16 RUR - налог 22 RUR (данные из БД)</t>
  </si>
  <si>
    <t>Купон по RU000A106EZ0 - ВИС Ф БП04 19шт. по 32.16 RUR - налог 79 RUR (данные из БД)</t>
  </si>
  <si>
    <t>Амортизация ВТБРКС01: 7 шт. по 55.24 RUR.  (данные из БД)</t>
  </si>
  <si>
    <t>Купон по RU000A1032P1 - ВТБРКС01 7шт. по 6.06 RUR - налог 6 RUR (данные из БД)</t>
  </si>
  <si>
    <t>Амортизация РКСЭталон1: 10 шт. по 45.07 RUR.  (данные из БД)</t>
  </si>
  <si>
    <t>Купон по RU000A105G99 - РКСЭталон1 10шт. по 5.76 RUR - налог 7 RUR (данные из БД)</t>
  </si>
  <si>
    <t>Купон по RU000A106UW3 - iКарРус1P3 7шт. по 11.26 RUR - налог 10 RUR (данные из БД)</t>
  </si>
  <si>
    <t>Част.погаш.номин. обл. ООО СФО ВТБ РКС-1 4-01-00586-R, И988153, частичное досроч. погашение . Вел.погаш. части ном.на 1 обл. 55. (данные из сделок)</t>
  </si>
  <si>
    <t>Амортизация ГТЛК 1P-06: 1 шт. по 15.86 RUR.  (данные из БД)</t>
  </si>
  <si>
    <t>Дивиденд по CHMF - СевСт-ао 1шт. по 31.06 RUR - налог 4 RUR (данные из БД)</t>
  </si>
  <si>
    <t>Част.погаш.номин. обл. АО ГТЛК 4B02-06-32432-H-001P, И988153, частичное досроч. погашение . Вел.погаш. части ном.на 1 обл. 15.86 (данные из сделок)</t>
  </si>
  <si>
    <t>Амортизация РН БАНК1Р9: 3 шт. по 1000 RUR.  (данные из БД)</t>
  </si>
  <si>
    <t>Купон по RU000A0ZYAP9 - ГТЛК 1P-06 1шт. по 28.63 RUR - налог 4 RUR (данные из БД)</t>
  </si>
  <si>
    <t>Ден.ср-ва от погаш. номин.ст-ти обл. АО Авто Финанс Банк 4B02-09-00170-B-001P, И988153.   НДС не обл. Налог не удерживается. (данные из сделок)</t>
  </si>
  <si>
    <t>Купон по RU000A1017J5 - Газпнф3P2R 20шт. по 17.83 RUR - налог 46 RUR (данные из БД)</t>
  </si>
  <si>
    <t>Купон по SU26237RMFS6 - ОФЗ 26237 34шт. по 33.41 RUR - налог 148 RUR (данные из БД)</t>
  </si>
  <si>
    <t>Амортизация БалтЛизБП6: 2 шт. по 330 RUR.  (данные из БД)</t>
  </si>
  <si>
    <t>Купон по SU26244RMFS2 - ОФЗ 26244 40шт. по 56.1 RUR - налог 292 RUR (данные из БД)</t>
  </si>
  <si>
    <t>Купон по SU26246RMFS7 - ОФЗ 26246 20шт. по 43.73 RUR - налог 114 RUR (данные из БД)</t>
  </si>
  <si>
    <t>Част.погаш.номин. обл. ООО Балтийский лизинг 4B02-06-36442-R-001P, И988153, частичное досроч. погашение . Вел.погаш. части ном.н (данные из сделок)</t>
  </si>
  <si>
    <t>Дивиденд по RTKM - Ростел -ао 20шт. по 6.06 RUR - налог 16 RUR (данные из БД)</t>
  </si>
  <si>
    <t>Амортизация ВТБРКС01: 7 шт. по 48.49 RUR.  (данные из БД)</t>
  </si>
  <si>
    <t>Амортизация РКСЭталон1: 10 шт. по 39.07 RUR.  (данные из БД)</t>
  </si>
  <si>
    <t>Купон по RU000A1032P1 - ВТБРКС01 7шт. по 5.5 RUR - налог 5 RUR (данные из БД)</t>
  </si>
  <si>
    <t>Купон по SU26221RMFS0 - ОФЗ 26221 45шт. по 38.39 RUR - налог 225 RUR (данные из БД)</t>
  </si>
  <si>
    <t>Купон по RU000A105G99 - РКСЭталон1 10шт. по 5.16 RUR - налог 7 RUR (данные из БД)</t>
  </si>
  <si>
    <t>Дивиденд по NVTK - Новатэк ао 5шт. по 35.5 RUR - налог 23 RUR (данные из БД)</t>
  </si>
  <si>
    <t>Дивиденд по SELG - Селигдар 20шт. по 4 RUR - налог 10 RUR (данные из БД)</t>
  </si>
  <si>
    <t>Дивиденд по SIBN - Газпрнефть 12шт. по 51.96 RUR - налог 81 RUR (данные из БД)</t>
  </si>
  <si>
    <t>Дивиденд по MAGN - ММК 10шт. по 2.49 RUR - налог 3 RUR (данные из БД)</t>
  </si>
  <si>
    <t>Дивиденд по ALRS - АЛРОСА ао 40шт. по 2.49 RUR - налог 13 RUR (данные из БД)</t>
  </si>
  <si>
    <t>Купон по RU000A101CL5 - ФСК ЕЭС1Р4 12шт. по 16.83 RUR - налог 26 RUR (данные из БД)</t>
  </si>
  <si>
    <t>Купон по RU000A106631 - АПРИФП 2Р2 4шт. по 44.88 RUR - налог 23 RUR (данные из БД)</t>
  </si>
  <si>
    <t>Амортизация ВТБРКС01: 7 шт. по 46.91 RUR.  (данные из БД)</t>
  </si>
  <si>
    <t>Част.погаш.номин. обл. ООО СФО ВТБ РКС-1 4-01-00586-R, И988153, частичное досроч. погашение . Вел.погаш. части ном.на 1 обл. 46. (данные из сделок)</t>
  </si>
  <si>
    <t>Амортизация РКСЭталон1: 10 шт. по 36.03 RUR.  (данные из БД)</t>
  </si>
  <si>
    <t>Купон по RU000A1032P1 - ВТБРКС01 7шт. по 5.35 RUR - налог 5 RUR (данные из БД)</t>
  </si>
  <si>
    <t>Купон по RU000A105G99 - РКСЭталон1 10шт. по 4.97 RUR - налог 6 RUR (данные из БД)</t>
  </si>
  <si>
    <t>Амортизация ИнтЛиз1Р07: 10 шт. по 40 RUR.  (данные из БД)</t>
  </si>
  <si>
    <t>Част.погаш.номин. обл. ООО Интерлизинг 4B02-07-00380-R-001P, И988153, частичное досроч. погашение . Вел.погаш. части ном.на 1 об (данные из сделок)</t>
  </si>
  <si>
    <t>Амортизация ЭНИКА 1Р04: 5 шт. по 100 RUR.  (данные из БД)</t>
  </si>
  <si>
    <t>Част.погаш.номин. обл. ООО ЭНЕРГОНИКА 4B02-04-00518-R-001P, И988153, частичное досроч. погашение . Вел.погаш. части ном.на 1 обл (данные из сделок)</t>
  </si>
  <si>
    <t>Купон по RU000A0ZZ893 - КАМАЗ БО11 2шт. по 73.64 RUR - налог 19 RUR (данные из БД)</t>
  </si>
  <si>
    <t>Купон по SU26236RMFS8 - ОФЗ 26236 10шт. по 28.42 RUR - налог 37 RUR (данные из БД)</t>
  </si>
  <si>
    <t>Купон по SU26247RMFS5 - ОФЗ 26247 20шт. по 65.78 RUR - налог 171 RUR (данные из БД)</t>
  </si>
  <si>
    <t>Купон по SU26241RMFS8 - ОФЗ 26241 34шт. по 47.37 RUR - налог 209 RUR (данные из БД)</t>
  </si>
  <si>
    <t>Амортизация ВТБРКС01: 7 шт. по 45.52 RUR.  (данные из БД)</t>
  </si>
  <si>
    <t>Амортизация РКСЭталон1: 10 шт. по 36.37 RUR.  (данные из БД)</t>
  </si>
  <si>
    <t>Купон по RU000A1032P1 - ВТБРКС01 7шт. по 4.87 RUR - налог 4 RUR (данные из БД)</t>
  </si>
  <si>
    <t>Купон по RU000A105G99 - РКСЭталон1 10шт. по 4.48 RUR - налог 6 RUR (данные из БД)</t>
  </si>
  <si>
    <t>Дивиденд по AQUA - ИНАРКТИКА 4шт. по 20 RUR - налог 10 RUR (данные из БД)</t>
  </si>
  <si>
    <t>Купон по RU000A105KR6 - ВСК 1P-03R 5шт. по 56.1 RUR - налог 36 RUR (данные из БД)</t>
  </si>
  <si>
    <t>Купон по SU26238RMFS4 - ОФЗ 26238 88шт. по 35.4 RUR - налог 405 RUR (данные из БД)</t>
  </si>
  <si>
    <t>Купон по SU26243RMFS4 - ОФЗ 26243 53шт. по 48.87 RUR - налог 337 RUR (данные из БД)</t>
  </si>
  <si>
    <t>Купон по SU26248RMFS3 - ОФЗ 26248 20шт. по 68.13 RUR - налог 177 RUR (данные из БД)</t>
  </si>
  <si>
    <t>Дивиденд по WUSH - iВУШХолднг 3шт. по 2.11 RUR - налог 1 RUR (данные из БД)</t>
  </si>
  <si>
    <t>Амортизация ИЭКХолд1Р2: 3 шт. по 1000 RUR.  (данные из БД)</t>
  </si>
  <si>
    <t>Ден.ср-ва от погаш. номин.ст-ти обл. ООО ИЭК ХОЛДИНГ 4B02-02-00085-L-001P, И988153.   НДС не обл. Налог не удерживается. (данные из сделок)</t>
  </si>
  <si>
    <t>Купон по RU000A101RJ7 - МБЭС 1P-02 1шт. по 81.78 RUR - налог 11 RUR (данные из БД)</t>
  </si>
  <si>
    <t>Амортизация ГТЛК 1P-06: 1 шт. по 16.56 RUR.  (данные из БД)</t>
  </si>
  <si>
    <t>Купон по RU000A1077X0 - ИнтЛиз1Р07 10шт. по 12.62 RUR - налог 16 RUR (данные из БД)</t>
  </si>
  <si>
    <t>Купон по RU000A0ZYAP9 - ГТЛК 1P-06 1шт. по 31.13 RUR - налог 4 RUR (данные из БД)</t>
  </si>
  <si>
    <t>Част.погаш.номин. обл. АО ГТЛК 4B02-06-32432-H-001P, И988153, частичное досроч. погашение . Вел.погаш. части ном.на 1 обл. 16.56 (данные из сделок)</t>
  </si>
  <si>
    <t>Дивиденд по PLZL - Полюс 1шт. по 1301.75 RUR - налог 169 RUR (данные из БД)</t>
  </si>
  <si>
    <t>Дивиденд по LEAS - Европлан 2шт. по 50 RUR - налог 13 RUR (данные из БД)</t>
  </si>
  <si>
    <t>Дивиденд по LKOH - ЛУКОЙЛ 1шт. по 514 RUR - налог 67 RUR (данные из БД)</t>
  </si>
  <si>
    <t>Дивиденд по CHMF - СевСт-ао 1шт. по 49.06 RUR - налог 6 RUR (данные из БД)</t>
  </si>
  <si>
    <t>Дивиденд по SFIN - ЭсЭфАй ао 1шт. по 227.6 RUR - налог 30 RUR (данные из БД)</t>
  </si>
  <si>
    <t>Амортизация ВТБРКС01: 7 шт. по 47.28 RUR.  (данные из БД)</t>
  </si>
  <si>
    <t>Купон по RU000A1032P1 - ВТБРКС01 7шт. по 4.73 RUR - налог 4 RUR (данные из БД)</t>
  </si>
  <si>
    <t>Амортизация РКСЭталон1: 10 шт. по 35.98 RUR.  (данные из БД)</t>
  </si>
  <si>
    <t>Купон по RU000A105G99 - РКСЭталон1 10шт. по 4.29 RUR - налог 6 RUR (данные из БД)</t>
  </si>
  <si>
    <t>Амортизация КЛС БО-02: 2 шт. по 1000 RUR.  (данные из БД)</t>
  </si>
  <si>
    <t>Купон по RU000A1077X0 - ИнтЛиз1Р07 10шт. по 12.1 RUR - налог 16 RUR (данные из БД)</t>
  </si>
  <si>
    <t>Купон по RU000A104YT6 - СамолетP12 5шт. по 33.03 RUR - налог 21 RUR (данные из БД)</t>
  </si>
  <si>
    <t>Дивиденд по ROSN - Роснефть 117шт. по 36.47 RUR - налог 555 RUR (данные из БД)</t>
  </si>
  <si>
    <t>Част.погаш.номин. обл. ООО СФО ВТБ РКС-1 4-01-00586-R, И988153, частичное досроч. погашение . Вел.погаш. части ном.на 1 обл. 47. (данные из сделок)</t>
  </si>
  <si>
    <t>Дивиденд по ASTR - iАстра ао 3шт. по 2.64 RUR - налог 1 RUR (данные из БД)</t>
  </si>
  <si>
    <t>Купон по RU000A0JWYJ0 - Самолет 01 5шт. по 39.89 RUR - налог 26 RUR (данные из БД)</t>
  </si>
  <si>
    <t>Амортизация ВТБРКС01: 7 шт. по 42.57 RUR.  (данные из БД)</t>
  </si>
  <si>
    <t>Купон по RU000A1032P1 - ВТБРКС01 7шт. по 4.41 RUR - налог 4 RUR (данные из БД)</t>
  </si>
  <si>
    <t>Амортизация РКСЭталон1: 10 шт. по 32.96 RUR.  (данные из БД)</t>
  </si>
  <si>
    <t>Купон по RU000A105G99 - РКСЭталон1 10шт. по 3.96 RUR - налог 5 RUR (данные из БД)</t>
  </si>
  <si>
    <t>Част.погаш.номин. обл. ООО СФО ВТБ РКС-1 4-01-00586-R, И988153, частичное досроч. погашение . Вел.погаш. части ном.на 1 обл. 42. (данные из сделок)</t>
  </si>
  <si>
    <t>Купон по RU000A1077X0 - ИнтЛиз1Р07 10шт. по 11.57 RUR - налог 15 RUR (данные из БД)</t>
  </si>
  <si>
    <t>Купон по RU000A106R79 - ЭНИКА 1Р04 5шт. по 35.9 RUR - налог 23 RUR (данные из БД)</t>
  </si>
  <si>
    <t>Амортизация ВТБРКС01: 7 шт. по 39.07 RUR.  (данные из БД)</t>
  </si>
  <si>
    <t>Купон по RU000A1032P1 - ВТБРКС01 7шт. по 3.72 RUR - налог 3 RUR (данные из БД)</t>
  </si>
  <si>
    <t>Амортизация РКСЭталон1: 10 шт. по 30.66 RUR.  (данные из БД)</t>
  </si>
  <si>
    <t>Купон по RU000A105G99 - РКСЭталон1 10шт. по 3.3 RUR - налог 4 RUR (данные из БД)</t>
  </si>
  <si>
    <t>Част.погаш.номин. обл. ООО СФО ВТБ РКС-1 4-01-00586-R, И988153, частичное досроч. погашение . Вел.погаш. части ном.на 1 обл. 39. (данные из сделок)</t>
  </si>
  <si>
    <t>Купон по RU000A1077X0 - ИнтЛиз1Р07 10шт. по 11.05 RUR - налог 14 RUR (данные из БД)</t>
  </si>
  <si>
    <t>Амортизация ГТЛК 1P-06: 1 шт. по 17.25 RUR.  (данные из БД)</t>
  </si>
  <si>
    <t>Част.погаш.номин. обл. АО ГТЛК 4B02-06-32432-H-001P, И988153, частичное досроч. погашение . Вел.погаш. части ном.на 1 обл. 17.25 (данные из сделок)</t>
  </si>
  <si>
    <t>Купон по RU000A0ZYAP9 - ГТЛК 1P-06 1шт. по 34.99 RUR - налог 5 RUR (данные из БД)</t>
  </si>
  <si>
    <t>Купон по RU000A1058M3 - БалтЛизБП6 2шт. по 36.41 RUR - налог 9 RUR (данные из БД)</t>
  </si>
  <si>
    <t>Купон по SU26246RMFS7 - ОФЗ 26246 34шт. по 59.84 RUR - налог 264 RUR (данные из БД)</t>
  </si>
  <si>
    <t>Амортизация ВТБРКС01: 7 шт. по 36.56 RUR.  (данные из БД)</t>
  </si>
  <si>
    <t>Част.погаш.номин. обл. ООО СФО ВТБ РКС-1 4-01-00586-R, И988153, частичное досроч. погашение . Вел.погаш. части ном.на 1 обл. 36. (данные из сделок)</t>
  </si>
  <si>
    <t>Амортизация РКСЭталон1: 10 шт. по 30.17 RUR.  (данные из БД)</t>
  </si>
  <si>
    <t>Купон по RU000A1032P1 - ВТБРКС01 7шт. по 3.85 RUR - налог 4 RUR (данные из БД)</t>
  </si>
  <si>
    <t>Купон по RU000A105G99 - РКСЭталон1 10шт. по 3.36 RUR - налог 4 RUR (данные из БД)</t>
  </si>
  <si>
    <t>Купон по RU000A1077X0 - ИнтЛиз1Р07 10шт. по 10.52 RUR - налог 14 RUR (данные из БД)</t>
  </si>
  <si>
    <t>Дивиденд по PLZL - Полюс 10шт. по 73 RUR - налог 95 RUR (данные из БД)</t>
  </si>
  <si>
    <t>Дивиденд по NVTK - Новатэк ао 5шт. по 46.65 RUR - налог 30 RUR (данные из БД)</t>
  </si>
  <si>
    <t>Амортизация ВТБРКС01: 7 шт. по 36.26 RUR.  (данные из БД)</t>
  </si>
  <si>
    <t>Купон по RU000A1032P1 - ВТБРКС01 7шт. по 3.49 RUR - налог 3 RUR (данные из БД)</t>
  </si>
  <si>
    <t>Амортизация РКСЭталон1: 10 шт. по 30.9 RUR.  (данные из БД)</t>
  </si>
  <si>
    <t>Купон по RU000A105G99 - РКСЭталон1 10шт. по 2.98 RUR - налог 4 RUR (данные из БД)</t>
  </si>
  <si>
    <t>Амортизация ГарИнв2P06: 2 шт. по 1000 RUR.  (данные из БД)</t>
  </si>
  <si>
    <t>Купон по RU000A1077X0 - ИнтЛиз1Р07 10шт. по 9.99 RUR - налог 13 RUR (данные из БД)</t>
  </si>
  <si>
    <t>Купон по RU000A106R79 - ЭНИКА 1Р04 5шт. по 31.91 RUR - налог 21 RUR (данные из БД)</t>
  </si>
  <si>
    <t>Амортизация РКК БО-01: 2 шт. по 250 RUR.  (данные из БД)</t>
  </si>
  <si>
    <t>Купон по RU000A0ZZ893 - КАМАЗ БО11 2шт. по 88.51 RUR - налог 23 RUR (данные из БД)</t>
  </si>
  <si>
    <t>Купон по RU000A102SX4 - Систем1P19 5шт. по 59.84 RUR - налог 39 RUR (данные из БД)</t>
  </si>
  <si>
    <t>Купон по SU26247RMFS5 - ОФЗ 26247 20шт. по 61.08 RUR - налог 159 RUR (данные из БД)</t>
  </si>
  <si>
    <t>Амортизация ВТБРКС01: 7 шт. по 34.96 RUR.  (данные из БД)</t>
  </si>
  <si>
    <t>Купон по RU000A1032P1 - ВТБРКС01 7шт. по 3.36 RUR - налог 3 RUR (данные из БД)</t>
  </si>
  <si>
    <t>Амортизация РКСЭталон1: 10 шт. по 29.8 RUR.  (данные из БД)</t>
  </si>
  <si>
    <t>Погашение номинальной стоимости облигаций ООО СФО ВТБ РКС-1 ISIN RU000A1032P1, размер выплаты на 1 ц/б 34.96 RUB . (данные из сделок)</t>
  </si>
  <si>
    <t>Купон по RU000A105G99 - РКСЭталон1 10шт. по 2.79 RUR - налог 4 RUR (данные из БД)</t>
  </si>
  <si>
    <t>Дивиденд по LKOH - ЛУКОЙЛ 1шт. по 541 RUR - налог 70 RUR (данные из БД)</t>
  </si>
  <si>
    <t>Купон по SU26248RMFS3 - ОФЗ 26248 20шт. по 61.08 RUR - налог 159 RUR (данные из БД)</t>
  </si>
  <si>
    <t>Дивиденд по LEAS - Европлан 2шт. по 29 RUR - налог 8 RUR (данные из БД)</t>
  </si>
  <si>
    <t>Купон по RU000A1077X0 - ИнтЛиз1Р07 10шт. по 9.47 RUR - налог 12 RUR (данные из БД)</t>
  </si>
  <si>
    <t>Погашение номинальной стоимости облигаций ООО Интерлизинг ISIN RU000A1077X0, размер выплаты на 1 ц/б 40 RUB . (данные из сделок)</t>
  </si>
  <si>
    <t>Дивиденд по IRAO - ИнтерРАОао 400шт. по 0.35 RUR - налог 18 RUR (данные из БД)</t>
  </si>
  <si>
    <t>Дивиденд по SFIN - ЭсЭфАй ао 1шт. по 83.5 RUR - налог 11 RUR (данные из БД)</t>
  </si>
  <si>
    <t>Амортизация ГТЛК 1P-06: 1 шт. по 17.38 RUR.  (данные из БД)</t>
  </si>
  <si>
    <t>Купон по RU000A0ZYAP9 - ГТЛК 1P-06 1шт. по 34.02 RUR - налог 4 RUR (данные из БД)</t>
  </si>
  <si>
    <t>Погашение номинальной стоимости облигаций АО ГТЛК ISIN RU000A0ZYAP9, размер выплаты на 1 ц/б 17.38 RUB . (данные из сделок)</t>
  </si>
  <si>
    <t>Амортизация ВТБРКС01: 7 шт. по 32.45 RUR.  (данные из БД)</t>
  </si>
  <si>
    <t>Купон по RU000A1032P1 - ВТБРКС01 7шт. по 3.02 RUR - налог 3 RUR (данные из БД)</t>
  </si>
  <si>
    <t>Амортизация РКСЭталон1: 10 шт. по 29.61 RUR.  (данные из БД)</t>
  </si>
  <si>
    <t>Купон по RU000A105G99 - РКСЭталон1 10шт. по 2.43 RUR - налог 3 RUR (данные из БД)</t>
  </si>
  <si>
    <t>Погашение номинальной стоимости облигаций ООО СФО ВТБ РКС-1 ISIN RU000A1032P1, размер выплаты на 1 ц/б 32.45 RUB . (данные из сделок)</t>
  </si>
  <si>
    <t>Погашение номинальной стоимости облигаций ООО СФО ВТБ РКС Эталон ISIN RU000A105G99, размер выплаты на 1 ц/б 29.61 RUB . (данные из сделок)</t>
  </si>
  <si>
    <t>Купон по RU000A1077X0 - ИнтЛиз1Р07 10шт. по 8.94 RUR - налог 12 RUR (данные из БД)</t>
  </si>
  <si>
    <t>Дивиденд по SVCB - Совкомбанк 500шт. по 0.35 RUR - налог 23 RUR (данные из БД)</t>
  </si>
  <si>
    <t>Дивиденд по SIBN - Газпрнефть 12шт. по 27.21 RUR - налог 42 RUR (данные из БД)</t>
  </si>
  <si>
    <t>Дивиденд по MOEX - МосБиржа 10шт. по 26.11 RUR - налог 34 RUR (данные из БД)</t>
  </si>
  <si>
    <t>Дивиденд по ASTR - iАстра ао 3шт. по 3.15 RUR - налог 1 RUR (данные из БД)</t>
  </si>
  <si>
    <t>Амортизация СамолетP12: 5 шт. по 1000 RUR.  (данные из БД)</t>
  </si>
  <si>
    <t>Погашение номинальной стоимости облигаций ПАО ГК Самолет ISIN RU000A104YT6, размер выплаты на 1 ц/б 1000 RUB . (данные из сделок)</t>
  </si>
  <si>
    <t>Дивиденд по NMTP - НМТП ао 900шт. по 0.96 RUR - налог 112 RUR (данные из БД)</t>
  </si>
  <si>
    <t>Дивиденд по ELMT - iЭлемент 22000шт. по 0 RUR - налог 10 RUR (данные из БД)</t>
  </si>
  <si>
    <t>Дивиденд по TRNFP - Транснф ап 2шт. по 198.25 RUR - налог 52 RUR (данные из БД)</t>
  </si>
  <si>
    <t>Дивиденд по SNGS - Сургнфгз 200шт. по 0.9 RUR - налог 23 RUR (данные из БД)</t>
  </si>
  <si>
    <t>Дивиденд по SNGSP - Сургнфгз-п 100шт. по 8.5 RUR - налог 111 RUR (данные из БД)</t>
  </si>
  <si>
    <t>Дивиденд по SBER - Сбербанк 50шт. по 34.84 RUR - налог 226 RUR (данные из БД)</t>
  </si>
  <si>
    <t>Дивиденд по ROSN - Роснефть 117шт. по 14.68 RUR - налог 223 RUR (данные из БД)</t>
  </si>
  <si>
    <t>Купон по RU000A106631 - АПРИФП 2Р2 4шт. по 79.78 RUR - налог 41 RUR (данные из БД)</t>
  </si>
  <si>
    <t>Амортизация ВТБРКС01: 7 шт. по 32.8 RUR.  (данные из БД)</t>
  </si>
  <si>
    <t>Купон по RU000A1032P1 - ВТБРКС01 7шт. по 2.9 RUR - налог 3 RUR (данные из БД)</t>
  </si>
  <si>
    <t>Купон по RU000A0JWYJ0 - Самолет 01 5шт. по 64.82 RUR - налог 42 RUR (данные из БД)</t>
  </si>
  <si>
    <t>Амортизация РКСЭталон1: 10 шт. по 28.19 RUR.  (данные из БД)</t>
  </si>
  <si>
    <t>Купон по RU000A105G99 - РКСЭталон1 10шт. по 2.24 RUR - налог 3 RUR (данные из БД)</t>
  </si>
  <si>
    <t>Погашение номинальной стоимости облигаций ООО СФО ВТБ РКС-1 ISIN RU000A1032P1, размер выплаты на 1 ц/б 32.8 RUB . (данные из сделок)</t>
  </si>
  <si>
    <t>Погашение номинальной стоимости облигаций ООО СФО ВТБ РКС Эталон ISIN RU000A105G99, размер выплаты на 1 ц/б 28.19 RUB . (данные из сделок)</t>
  </si>
  <si>
    <t>Купон по RU000A1077X0 - ИнтЛиз1Р07 10шт. по 8.42 RUR - налог 11 RUR (данные из БД)</t>
  </si>
  <si>
    <t>Дивиденд по RTKM - Ростел -ао 20шт. по 2.71 RUR - налог 7 RUR (данные из БД)</t>
  </si>
  <si>
    <t>Купон по RU000A105VP7 - РКК БО-01 2шт. по 35.53 RUR - налог 9 RUR (данные из БД)</t>
  </si>
  <si>
    <t>Амортизация ВТБРКС01: 7 шт. по 31.64 RUR.  (данные из БД)</t>
  </si>
  <si>
    <t>Купон по RU000A1032P1 - ВТБРКС01 7шт. по 2.67 RUR - налог 2 RUR (данные из БД)</t>
  </si>
  <si>
    <t>Амортизация РКСЭталон1: 10 шт. по 27.98 RUR.  (данные из БД)</t>
  </si>
  <si>
    <t>Погашение номинальной стоимости облигаций ООО СФО ВТБ РКС-1 ISIN RU000A1032P1, размер выплаты на 1 ц/б 31.64 RUB . (данные из сделок)</t>
  </si>
  <si>
    <t>Купон по RU000A105G99 - РКСЭталон1 10шт. по 1.97 RUR - налог 3 RUR (данные из БД)</t>
  </si>
  <si>
    <t>Погашение номинальной стоимости облигаций ООО СФО ВТБ РКС Эталон ISIN RU000A105G99, размер выплаты на 1 ц/б 27.98 RUB . (данные из сделок)</t>
  </si>
  <si>
    <t>Купон по RU000A1077X0 - ИнтЛиз1Р07 10шт. по 7.89 RUR - налог 10 RUR (данные из БД)</t>
  </si>
  <si>
    <t>Амортизация ГТЛК 1P-06: 1 шт. по 17.91 RUR.  (данные из БД)</t>
  </si>
  <si>
    <t>Купон по RU000A0ZYAP9 - ГТЛК 1P-06 1шт. по 33.05 RUR - налог 4 RUR (данные из БД)</t>
  </si>
  <si>
    <t>Погашение номинальной стоимости облигаций АО ГТЛК ISIN RU000A0ZYAP9, размер выплаты на 1 ц/б 17.91 RUB . (данные из сделок)</t>
  </si>
  <si>
    <t>Купон по RU000A1061K1 - ЕвроТранс3 31шт. по 11.18 RUR - налог 45 RUR (данные из БД)</t>
  </si>
  <si>
    <t>Амортизация БалтЛизБП6: 2 шт. по 340 RUR.  (данные из БД)</t>
  </si>
  <si>
    <t>Купон по RU000A1058M3 - БалтЛизБП6 2шт. по 18.48 RUR - налог 5 RUR (данные из БД)</t>
  </si>
  <si>
    <t>Погашение номинальной стоимости облигаций ООО Балтийский лизинг ISIN RU000A1058M3, размер выплаты на 1 ц/б 340 RUB . (данные из сделок)</t>
  </si>
  <si>
    <t>Амортизация ВТБРКС01: 7 шт. по 28.87 RUR.  (данные из БД)</t>
  </si>
  <si>
    <t>Купон по RU000A1032P1 - ВТБРКС01 7шт. по 2.38 RUR - налог 2 RUR (данные из БД)</t>
  </si>
  <si>
    <t>Амортизация РКСЭталон1: 10 шт. по 25.63 RUR.  (данные из БД)</t>
  </si>
  <si>
    <t>Погашение номинальной стоимости облигаций ООО СФО ВТБ РКС-1 ISIN RU000A1032P1, размер выплаты на 1 ц/б 28.87 RUB . (данные из сделок)</t>
  </si>
  <si>
    <t>Купон по RU000A105G99 - РКСЭталон1 10шт. по 1.66 RUR - налог 2 RUR (данные из БД)</t>
  </si>
  <si>
    <t>Погашение номинальной стоимости облигаций ООО СФО ВТБ РКС Эталон ISIN RU000A105G99, размер выплаты на 1 ц/б 25.63 RUB . (данные из сделок)</t>
  </si>
  <si>
    <t>Купон по RU000A1077X0 - ИнтЛиз1Р07 10шт. по 7.36 RUR - налог 10 RUR (данные из БД)</t>
  </si>
  <si>
    <t>Дивиденд по SIBN - Газпрнефть 12шт. по 17.3 RUR - налог 27 RUR (данные из БД)</t>
  </si>
  <si>
    <t>Перечисление ДС для приобретения ценных бумаг. Основной рынок. Субпозиция №11VKFY (НДС не обл.) Канал - ВТБО</t>
  </si>
  <si>
    <t>Амортизация ВТБРКС01: 7 шт. по 31.31 RUR.  (данные из БД)</t>
  </si>
  <si>
    <t>Амортизация РКСЭталон1: 10 шт. по 28.06 RUR.  (данные из БД)</t>
  </si>
  <si>
    <t>Купон по RU000A1032P1 - ВТБРКС01 7шт. по 2.26 RUR - налог 2 RUR (данные из БД)</t>
  </si>
  <si>
    <t>Погашение номинальной стоимости облигаций ООО СФО ВТБ РКС-1 ISIN RU000A1032P1, размер выплаты на 1 ц/б 31.31 RUB . (данные из сделок)</t>
  </si>
  <si>
    <t>Купон по RU000A105G99 - РКСЭталон1 10шт. по 1.47 RUR - налог 2 RUR (данные из БД)</t>
  </si>
  <si>
    <t>Купон по RU000A1077X0 - ИнтЛиз1Р07 10шт. по 6.84 RUR - налог 9 RUR (данные из БД)</t>
  </si>
  <si>
    <t>Амортизация ОФЗ 26229: 10 шт. по 1000 RUR.  (данные из БД)</t>
  </si>
  <si>
    <t>Погашение номинальной стоимости облигаций Минфин России ISIN RU000A100EG3, размер выплаты на 1 ц/б 1000 RUB . (данные из сделок)</t>
  </si>
  <si>
    <t>Перечисление ДС для приобретения ценных бумаг. Основной рынок. Субпозиция №11VKFY (НДС не обл.) Канал - ВТБ МИ</t>
  </si>
  <si>
    <t>Погашение номинальной стоимости облигаций ООО ЭНЕРГОНИКА ISIN RU000A106R79, размер выплаты на 1 ц/б 100 RUB . (данные из сделок)</t>
  </si>
  <si>
    <t>Купон по RU000A0ZZ893 - КАМАЗ БО11 2шт. по 83.47 RUR - налог 22 RUR (данные из БД)</t>
  </si>
  <si>
    <t>Купон по RU000A1061K1 - ЕвроТранс3 41шт. по 11.18 RUR - налог 60 RUR (данные из БД)</t>
  </si>
  <si>
    <t>Купон по RU000A106UW3 - iКарРус1P3 17шт. по 11.26 RUR - налог 25 RUR (данные из БД)</t>
  </si>
  <si>
    <t>Амортизация ВТБРКС01: 7 шт. по 29.98 RUR.  (данные из БД)</t>
  </si>
  <si>
    <t>Купон по RU000A1032P1 - ВТБРКС01 7шт. по 1.98 RUR - налог 2 RUR (данные из БД)</t>
  </si>
  <si>
    <t>Амортизация РКСЭталон1: 10 шт. по 25.79 RUR.  (данные из БД)</t>
  </si>
  <si>
    <t>Погашение номинальной стоимости облигаций ООО СФО ВТБ РКС-1 ISIN RU000A1032P1, размер выплаты на 1 ц/б 29.98 RUB . (данные из сделок)</t>
  </si>
  <si>
    <t>Купон по RU000A105G99 - РКСЭталон1 10шт. по 1.17 RUR - налог 2 RUR (данные из БД)</t>
  </si>
  <si>
    <t>Погашение номинальной стоимости облигаций ООО СФО ВТБ РКС Эталон ISIN RU000A105G99, размер выплаты на 1 ц/б 25.79 RUB . (данные из сделок)</t>
  </si>
  <si>
    <t>Купон по RU000A1077X0 - ИнтЛиз1Р07 10шт. по 6.31 RUR - налог 8 RUR (данные из БД)</t>
  </si>
  <si>
    <t>Амортизация ГТЛК 1P-06: 1 шт. по 18.64 RUR.  (данные из БД)</t>
  </si>
  <si>
    <t>Купон по RU000A0ZYAP9 - ГТЛК 1P-06 1шт. по 27.77 RUR - налог 4 RUR (данные из БД)</t>
  </si>
  <si>
    <t>Погашение номинальной стоимости облигаций АО ГТЛК ISIN RU000A0ZYAP9, размер выплаты на 1 ц/б 18.64 RUB . (данные из сделок)</t>
  </si>
  <si>
    <t>Дивиденд по LEAS - Европлан 2шт. по 58 RUR - налог 15 RUR (данные из БД)</t>
  </si>
  <si>
    <t>Амортизация ИЭКХолд1Р1: 2 шт. по 1000 RUR.  (данные из БД)</t>
  </si>
  <si>
    <t>Погашение номинальной стоимости облигаций АО ИЭК ХОЛДИНГ ISIN RU000A105PR5, размер выплаты на 1 ц/б 1000 RUB . (данные из сделок)</t>
  </si>
  <si>
    <t>Дивиденд по SFIN - ЭсЭфАй ао 1шт. по 902 RUR - налог 117 RUR (данные из БД)</t>
  </si>
  <si>
    <t>Амортизация ВТБРКС01: 7 шт. по 28.68 RUR.  (данные из БД)</t>
  </si>
  <si>
    <t>Купон по RU000A106862 - ГарИнв2P06 -2шт. по 0.6 RUR - налог -0 RUR (данные из БД)</t>
  </si>
  <si>
    <t>Амортизация РКСЭталон1: 10 шт. по 23.82 RUR.  (данные из БД)</t>
  </si>
  <si>
    <t>Купон по RU000A10CZA1 - СамолетP20 5шт. по 17.47 RUR - налог 11 RUR (данные из БД)</t>
  </si>
  <si>
    <t>Купон по RU000A1032P1 - ВТБРКС01 7шт. по 1.85 RUR - налог 2 RUR (данные из БД)</t>
  </si>
  <si>
    <t>Купон по RU000A105G99 - РКСЭталон1 10шт. по 0.97 RUR - налог 1 RUR (данные из БД)</t>
  </si>
  <si>
    <t>Купон по RU000A1077X0 - ИнтЛиз1Р07 10шт. по 5.79 RUR - налог 8 RUR (данные из БД)</t>
  </si>
  <si>
    <t>Дивиденд по ROSN - Роснефть 117шт. по 11.56 RUR - налог 176 RUR (данные из БД)</t>
  </si>
  <si>
    <t>Дивиденд по LKOH - ЛУКОЙЛ 1шт. по 397 RUR - налог 52 RUR (данные из БД)</t>
  </si>
  <si>
    <t>Погашение номинальной стоимости облигаций ООО СФО ВТБ РКС Эталон ISIN RU000A105G99, размер выплаты на 1 ц/б 23.82 RUB . (данные из сделок)</t>
  </si>
  <si>
    <t>Купон по RU000A10BW96 - СамолетP18 5шт. по 19.73 RUR - налог 13 RUR (данные из БД)</t>
  </si>
  <si>
    <t>Купон по RU000A106862 - ГарИнв2P06 -2шт. по 8.22 RUR - налог -2 RUR (данные из БД)</t>
  </si>
  <si>
    <t>Амортизация ВТБРКС01: 7 шт. по 31.83 RUR.  (данные из БД)</t>
  </si>
  <si>
    <t>Купон по RU000A1032P1 - ВТБРКС01 7шт. по 1.65 RUR - налог 2 RUR (данные из БД)</t>
  </si>
  <si>
    <t>Амортизация РКСЭталон1: 10 шт. по 25.62 RUR.  (данные из БД)</t>
  </si>
  <si>
    <t>Купон по RU000A105G99 - РКСЭталон1 10шт. по 0.75 RUR - налог 1 RUR (данные из БД)</t>
  </si>
  <si>
    <t>Погашение номинальной стоимости облигаций ООО СФО ВТБ РКС Эталон ISIN RU000A105G99, размер выплаты на 1 ц/б 25.62 RUB . (данные из сделок)</t>
  </si>
  <si>
    <t>Купон по RU000A1077X0 - ИнтЛиз1Р07 10шт. по 5.26 RUR - налог 7 RUR (данные из БД)</t>
  </si>
  <si>
    <t>Купон по RU000A106R79 - ЭНИКА 1Р04 5шт. по 27.92 RUR - налог 18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</si>
  <si>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</si>
  <si>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</si>
  <si>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</si>
  <si>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</si>
  <si>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</si>
  <si>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</si>
  <si>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</si>
  <si>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</si>
  <si>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+13402 шт. FEES:moex (Россети)</t>
  </si>
  <si>
    <t>Полный доход</t>
  </si>
  <si>
    <t>RNFT</t>
  </si>
  <si>
    <t>SBERP</t>
  </si>
  <si>
    <t>RU000A0JR282</t>
  </si>
  <si>
    <t>RU000A101RP4</t>
  </si>
  <si>
    <t>PIKK</t>
  </si>
  <si>
    <t>FLOT</t>
  </si>
  <si>
    <t>SPBE</t>
  </si>
  <si>
    <t>RSTI</t>
  </si>
  <si>
    <t>MVID</t>
  </si>
  <si>
    <t>MTLRP</t>
  </si>
  <si>
    <t>RU000A107E08</t>
  </si>
  <si>
    <t>RU000A105PR5</t>
  </si>
  <si>
    <t>RU000A106631</t>
  </si>
  <si>
    <t>RU000A105QL6</t>
  </si>
  <si>
    <t>RU000A103NY1</t>
  </si>
  <si>
    <t>RU000A1058M3</t>
  </si>
  <si>
    <t>RU000A105VP7</t>
  </si>
  <si>
    <t>SU26229RMFS3</t>
  </si>
  <si>
    <t>ZAYM</t>
  </si>
  <si>
    <t>MBNK</t>
  </si>
  <si>
    <t>ELMT</t>
  </si>
  <si>
    <t>PLZL</t>
  </si>
  <si>
    <t>ENPG</t>
  </si>
  <si>
    <t>RU000A104YT6</t>
  </si>
  <si>
    <t>YDEX</t>
  </si>
  <si>
    <t>AFLT</t>
  </si>
  <si>
    <t>X5</t>
  </si>
  <si>
    <t>ROSN
Роснефть</t>
  </si>
  <si>
    <t>FIXR
Фикс Прайс</t>
  </si>
  <si>
    <t>SNGSP
Сургнфгз-п</t>
  </si>
  <si>
    <t>SBER
Сбербанк</t>
  </si>
  <si>
    <t>VTBR
ВТБ ао</t>
  </si>
  <si>
    <t>NMTP
НМТП ао</t>
  </si>
  <si>
    <t>GMKN
ГМКНорНик</t>
  </si>
  <si>
    <t>SVCB
Совкомбанк</t>
  </si>
  <si>
    <t>MGNT
Магнит ао</t>
  </si>
  <si>
    <t>GEMC
МКПАО ЮМГ</t>
  </si>
  <si>
    <t>SIBN
Газпрнефть</t>
  </si>
  <si>
    <t>NVTK
Новатэк ао</t>
  </si>
  <si>
    <t>LKOH
ЛУКОЙЛ</t>
  </si>
  <si>
    <t>UGLD
ЮГК</t>
  </si>
  <si>
    <t>SNGS
Сургнфгз</t>
  </si>
  <si>
    <t>LENT
Лента ао</t>
  </si>
  <si>
    <t>TRNFP
Транснф ап</t>
  </si>
  <si>
    <t>AFKS
Система ао</t>
  </si>
  <si>
    <t>FESH
ДВМП ао</t>
  </si>
  <si>
    <t>TRMK
ТМК ао</t>
  </si>
  <si>
    <t>NLMK
НЛМК ао</t>
  </si>
  <si>
    <t>MOEX
МосБиржа</t>
  </si>
  <si>
    <t>AQUA
ИНАРКТИКА</t>
  </si>
  <si>
    <t>ALRS
АЛРОСА ао</t>
  </si>
  <si>
    <t>UPRO
Юнипро ао</t>
  </si>
  <si>
    <t>IVAT
iИВА</t>
  </si>
  <si>
    <t>LEAS
Европлан</t>
  </si>
  <si>
    <t>RTKM
Ростел -ао</t>
  </si>
  <si>
    <t>IRAO
ИнтерРАОао</t>
  </si>
  <si>
    <t>POSI
iПозитив</t>
  </si>
  <si>
    <t>GAZP
ГАЗПРОМ ао</t>
  </si>
  <si>
    <t>SELG
Селигдар</t>
  </si>
  <si>
    <t>SFIN
ЭсЭфАй ао</t>
  </si>
  <si>
    <t>CHMF
СевСт-ао</t>
  </si>
  <si>
    <t>FEES
Россети</t>
  </si>
  <si>
    <t>RUAL
РУСАЛ ао</t>
  </si>
  <si>
    <t>ASTR
iАстра ао</t>
  </si>
  <si>
    <t>LSRG
ЛСР ао</t>
  </si>
  <si>
    <t>DSKY
ДетскийМир</t>
  </si>
  <si>
    <t>MTLR
Мечел ао</t>
  </si>
  <si>
    <t>WUSH
iВУШХолднг</t>
  </si>
  <si>
    <t>MAGN
ММК</t>
  </si>
  <si>
    <t>SGZH
Сегежа</t>
  </si>
  <si>
    <t>OBLG
OBLG ETF</t>
  </si>
  <si>
    <t>EQMX
EQMX ETF</t>
  </si>
  <si>
    <t>CNYM
CNYM ETF</t>
  </si>
  <si>
    <t>LQDT
LQDT ETF</t>
  </si>
  <si>
    <t>GOLD
GOLD ETF</t>
  </si>
  <si>
    <t>SU26238RMFS4
ОФЗ 26238</t>
  </si>
  <si>
    <t>SU26240RMFS0
ОФЗ 26240</t>
  </si>
  <si>
    <t>SU26243RMFS4
ОФЗ 26243</t>
  </si>
  <si>
    <t>SU26244RMFS2
ОФЗ 26244</t>
  </si>
  <si>
    <t>RU000A1061K1
ЕвроТранс3</t>
  </si>
  <si>
    <t>SU26221RMFS0
ОФЗ 26221</t>
  </si>
  <si>
    <t>SU26246RMFS7
ОФЗ 26246</t>
  </si>
  <si>
    <t>SU26237RMFS6
ОФЗ 26237</t>
  </si>
  <si>
    <t>SU26241RMFS8
ОФЗ 26241</t>
  </si>
  <si>
    <t>RU000A106EZ0
ВИС Ф БП04</t>
  </si>
  <si>
    <t>SU26248RMFS3
ОФЗ 26248</t>
  </si>
  <si>
    <t>SU26247RMFS5
ОФЗ 26247</t>
  </si>
  <si>
    <t>RU000A1017J5
Газпнф3P2R</t>
  </si>
  <si>
    <t>SU26219RMFS4
ОФЗ 26219</t>
  </si>
  <si>
    <t>RU000A106UW3
iКарРус1P3</t>
  </si>
  <si>
    <t>RU000A101CL5
ФСК ЕЭС1Р4</t>
  </si>
  <si>
    <t>SU26254RMFS1
ОФЗ 26254</t>
  </si>
  <si>
    <t>SU26236RMFS8
ОФЗ 26236</t>
  </si>
  <si>
    <t>RU000A10BW96
СамолетP18</t>
  </si>
  <si>
    <t>RU000A105VU7
ЭталонФин1</t>
  </si>
  <si>
    <t>RU000A0JWYJ0
Самолет 01</t>
  </si>
  <si>
    <t>RU000A102SX4
Систем1P19</t>
  </si>
  <si>
    <t>RU000A10CZA1
СамолетP20</t>
  </si>
  <si>
    <t>RU000A105KR6
ВСК 1P-03R</t>
  </si>
  <si>
    <t>RU000A1055Y4
ПочтаР2P04</t>
  </si>
  <si>
    <t>RU000A106HB4
iВУШ 1P2</t>
  </si>
  <si>
    <t>RU000A1077X0
ИнтЛиз1Р07</t>
  </si>
  <si>
    <t>RU000A104693
Систем1P23</t>
  </si>
  <si>
    <t>RU000A106R79
ЭНИКА 1Р04</t>
  </si>
  <si>
    <t>RU000A106R95
iСелкт1Р3R</t>
  </si>
  <si>
    <t>RU000A0ZZ893
КАМАЗ БО11</t>
  </si>
  <si>
    <t>RU000A1032P1
ВТБРКС01</t>
  </si>
  <si>
    <t>RU000A101RJ7
МБЭС 1P-02</t>
  </si>
  <si>
    <t>RU000A0ZYAP9
ГТЛК 1P-06</t>
  </si>
  <si>
    <t>RU000A105G99
РКСЭталон1</t>
  </si>
  <si>
    <t>RU000A106862
ГарИнв2P06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</si>
  <si>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</si>
  <si>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</si>
  <si>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</si>
  <si>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</si>
  <si>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</si>
  <si>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</si>
  <si>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</si>
  <si>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</si>
  <si>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ПАО НК Роснефть</t>
  </si>
  <si>
    <t>ПАО Московская Биржа</t>
  </si>
  <si>
    <t>АФК "Система" ПАО ао</t>
  </si>
  <si>
    <t>ао ПАО Банк ВТБ</t>
  </si>
  <si>
    <t>РУСАЛ ОК МКПАО ао</t>
  </si>
  <si>
    <t>Мечел ПАО ао</t>
  </si>
  <si>
    <t>РуссНефть НК ПАО ао</t>
  </si>
  <si>
    <t>"Интер РАО" ПАО ао</t>
  </si>
  <si>
    <t>БПИФ Индекс МосБиржи УК ВИМ</t>
  </si>
  <si>
    <t>Сбербанк России ПАО ап</t>
  </si>
  <si>
    <t>БПИФ Ликвидность УК ВИМ</t>
  </si>
  <si>
    <t>БПИФ Золото.Биржевой УК ВИМ</t>
  </si>
  <si>
    <t>ПИФ Акции УК ВИМИнвест</t>
  </si>
  <si>
    <t>Республика Казахстан 01</t>
  </si>
  <si>
    <t>АЛРОСА ПАО ао</t>
  </si>
  <si>
    <t>ПАО Детский мир</t>
  </si>
  <si>
    <t>Группа Позитив ао</t>
  </si>
  <si>
    <t>НК ЛУКОЙЛ (ПАО) - ао</t>
  </si>
  <si>
    <t>"Газпром" (ПАО) ао</t>
  </si>
  <si>
    <t>Сургутнефтегаз ПАО ап</t>
  </si>
  <si>
    <t>Юнипро ПАО ао</t>
  </si>
  <si>
    <t>"ФСК ЕЭС" ПАО ао</t>
  </si>
  <si>
    <t>Северсталь (ПАО)ао</t>
  </si>
  <si>
    <t>ПАО "Селигдар"  ао</t>
  </si>
  <si>
    <t>ПИК СЗ (ПАО) ао</t>
  </si>
  <si>
    <t>"Магнитогорск.мет.комб" ПАО ао</t>
  </si>
  <si>
    <t>Совкомфлот ао</t>
  </si>
  <si>
    <t>СПБ Биржа ао</t>
  </si>
  <si>
    <t>Газпром нефть ПАО ао</t>
  </si>
  <si>
    <t>Русская Аквакультура ПАО ао</t>
  </si>
  <si>
    <t>"Российские сети" ПАО ао</t>
  </si>
  <si>
    <t>"М.видео" ПАО ао</t>
  </si>
  <si>
    <t>Сегежа ао</t>
  </si>
  <si>
    <t>Группа ЛСР ПАО ао</t>
  </si>
  <si>
    <t>Мечел ПАО ап</t>
  </si>
  <si>
    <t>Сбербанк России ПАО ао</t>
  </si>
  <si>
    <t>Межд.Банк Эк.Сотруд. 001P-02</t>
  </si>
  <si>
    <t>ПАО ИНАРКТИКА</t>
  </si>
  <si>
    <t>Ростелеком (ПАО) ао.</t>
  </si>
  <si>
    <t>CNYRUB_TOM</t>
  </si>
  <si>
    <t>CNY/RUB_TOM - CNY/РУБ</t>
  </si>
  <si>
    <t>selt</t>
  </si>
  <si>
    <t>ЭНЕРГОНИКА 001Р-04</t>
  </si>
  <si>
    <t>КАМАЗ ПАО об. БО-11</t>
  </si>
  <si>
    <t>Каршеринг Руссия 001P-03</t>
  </si>
  <si>
    <t>ЕвроТранс БО-001Р-03</t>
  </si>
  <si>
    <t>ИЭК ХОЛДИНГ 001P-02</t>
  </si>
  <si>
    <t>ИЭК ХОЛДИНГ 001P-01</t>
  </si>
  <si>
    <t>АПРИ ФП БО-002Р-02</t>
  </si>
  <si>
    <t>КЛС-Трейд БО-02</t>
  </si>
  <si>
    <t>Лента МКПАО ао</t>
  </si>
  <si>
    <t>РН БАНК АО БО-001Р-09</t>
  </si>
  <si>
    <t>Балтийский лизинг ООО БО-П06</t>
  </si>
  <si>
    <t>АФК Система БО 001P-19</t>
  </si>
  <si>
    <t>ВУШ БО 001P-02</t>
  </si>
  <si>
    <t>Селектел 001P-03R</t>
  </si>
  <si>
    <t>ОФЗ-ПД 26237 14/03/2029</t>
  </si>
  <si>
    <t>Русская Контейнерная Компания</t>
  </si>
  <si>
    <t>Эталон-Финанс 002Р-01</t>
  </si>
  <si>
    <t>Интерлизинг 001Р-07</t>
  </si>
  <si>
    <t>ФПК Гарант-Инвест БО 002Р-06</t>
  </si>
  <si>
    <t>АФК Система БО 001P-23</t>
  </si>
  <si>
    <t>Почта России БО-002P-04</t>
  </si>
  <si>
    <t>БПИФ Российскиеоблигации УКВИМ</t>
  </si>
  <si>
    <t>Юнайтед Медикал Груп ПАО</t>
  </si>
  <si>
    <t>Ликвидность. Юань</t>
  </si>
  <si>
    <t>ООО «СФО ВТБ РКС-1 »</t>
  </si>
  <si>
    <t>ОФЗ-ПД 26229 12/11/25</t>
  </si>
  <si>
    <t>ОФЗ-ПД 26219 16/09/26</t>
  </si>
  <si>
    <t>ГосТранспортЛизингКомп 001P-06</t>
  </si>
  <si>
    <t>ПАО "НОВАТЭК" ао</t>
  </si>
  <si>
    <t>spec</t>
  </si>
  <si>
    <t>Сумма процентов по СпецЗайму</t>
  </si>
  <si>
    <t>dohod</t>
  </si>
  <si>
    <t>amort</t>
  </si>
  <si>
    <t>Част.погаш.номин. обл. АО ГТЛК 4B02-06-32432-H-001P, И988153, частичное досроч. погашение . Вел.погаш. части ном.на 1 обл. 15.09</t>
  </si>
  <si>
    <t>ВИС ФИНАНС БО-П04</t>
  </si>
  <si>
    <t>ОФЗ-ПД 26244 15/03/34</t>
  </si>
  <si>
    <t>ОФЗ-ПД 26240 30/07/2036</t>
  </si>
  <si>
    <t>ОФЗ-ПД 26238 15/05/2041</t>
  </si>
  <si>
    <t>ОФЗ-ПД 26221 23/03/33</t>
  </si>
  <si>
    <t>commission</t>
  </si>
  <si>
    <t>Разница между суммами по внеб. сделкам спец. вал. СВОП ¹</t>
  </si>
  <si>
    <t>ПАО «ЛК «Европлан»</t>
  </si>
  <si>
    <t>Комиссия банка за внебирж.сделки к/п иностранной валюты/спец.своп по клиенту</t>
  </si>
  <si>
    <t>ФСК ЕЭС ПАО БО 001P-04R</t>
  </si>
  <si>
    <t>Газпром нефть БО 003Р-02R</t>
  </si>
  <si>
    <t>Займер ао</t>
  </si>
  <si>
    <t>Группа Астра ао</t>
  </si>
  <si>
    <t>МТС-Банк ао</t>
  </si>
  <si>
    <t>Сургутнефтегаз ПАО акции об.</t>
  </si>
  <si>
    <t>Элемент</t>
  </si>
  <si>
    <t>ПАО ИВА ао</t>
  </si>
  <si>
    <t>Част.погаш.номин. обл. АО ГТЛК 4B02-06-32432-H-001P, И988153, частичное досроч. погашение . Вел.погаш. части ном.на 1 обл. 15.39</t>
  </si>
  <si>
    <t>Вознаграждение Брокера</t>
  </si>
  <si>
    <t>Полюс ПАО ао</t>
  </si>
  <si>
    <t>Част.погаш.номин. обл. ООО СФО ВТБ РКС-1 4-01-00586-R, И988153, частичное досроч. погашение . Вел.погаш. части ном.на 1 обл. 57.</t>
  </si>
  <si>
    <t>"Магнит" ПАО ао</t>
  </si>
  <si>
    <t>ПАО "НЛМК" ао</t>
  </si>
  <si>
    <t>ДВ морское пароходство ПАО ао</t>
  </si>
  <si>
    <t>СФО ВТБ РКС Эталон 01</t>
  </si>
  <si>
    <t>Транснефть ПАО акц.пр.</t>
  </si>
  <si>
    <t>Совкомбанк ао</t>
  </si>
  <si>
    <t>Восточная Стивидор.Ком 1P-03R</t>
  </si>
  <si>
    <t>Част.погаш.номин. обл. ООО СФО ВТБ РКС-1 4-01-00586-R, И988153, частичное досроч. погашение . Вел.погаш. части ном.на 1 обл. 50.</t>
  </si>
  <si>
    <t>Част.погаш.номин. обл. ООО СФО ВТБ РКС Эталон 4-01-00668-R-001P, И988153, частичное досроч. погашение . Вел.погаш. части ном.на </t>
  </si>
  <si>
    <t>ВУШ Холдинг ао</t>
  </si>
  <si>
    <t>ОФЗ-ПД 26243 19/05/38</t>
  </si>
  <si>
    <t>ОФЗ-ПД 26236 17/05/2028</t>
  </si>
  <si>
    <t>НМТП (ПАО) ао</t>
  </si>
  <si>
    <t>ЭсЭфАй ПАО ао</t>
  </si>
  <si>
    <t>ПАО ТМК</t>
  </si>
  <si>
    <t>Част.погаш.номин. обл. ООО СФО ВТБ РКС-1 4-01-00586-R, И988153, частичное досроч. погашение . Вел.погаш. части ном.на 1 обл. 55.</t>
  </si>
  <si>
    <t>МКПАО ЭН+ ГРУП ао</t>
  </si>
  <si>
    <t>Част.погаш.номин. обл. АО ГТЛК 4B02-06-32432-H-001P, И988153, частичное досроч. погашение . Вел.погаш. части ном.на 1 обл. 15.86</t>
  </si>
  <si>
    <t>Ден.ср-ва от погаш. номин.ст-ти обл. АО Авто Финанс Банк 4B02-09-00170-B-001P, И988153.   НДС не обл. Налог не удерживается.</t>
  </si>
  <si>
    <t>ОФЗ-ПД 26241 17/11/32</t>
  </si>
  <si>
    <t>ОФЗ-ПД 26246 12/03/36</t>
  </si>
  <si>
    <t>ОФЗ-ПД 26247 11/05/39</t>
  </si>
  <si>
    <t>ОФЗ-ПД 26248 16/05/40</t>
  </si>
  <si>
    <t>Част.погаш.номин. обл. ООО Балтийский лизинг 4B02-06-36442-R-001P, И988153, частичное досроч. погашение . Вел.погаш. части ном.н</t>
  </si>
  <si>
    <t>CNYRUB</t>
  </si>
  <si>
    <t>Част.погаш.номин. обл. ООО СФО ВТБ РКС-1 4-01-00586-R, И988153, частичное досроч. погашение . Вел.погаш. части ном.на 1 обл. 46.</t>
  </si>
  <si>
    <t>Группа компаний "Самолет" 01</t>
  </si>
  <si>
    <t>ГК Самолет БО-П12</t>
  </si>
  <si>
    <t>Част.погаш.номин. обл. ООО Интерлизинг 4B02-07-00380-R-001P, И988153, частичное досроч. погашение . Вел.погаш. части ном.на 1 об</t>
  </si>
  <si>
    <t>ГМК "Нор.Никель" ПАО ао</t>
  </si>
  <si>
    <t>Част.погаш.номин. обл. ООО ЭНЕРГОНИКА 4B02-04-00518-R-001P, И988153, частичное досроч. погашение . Вел.погаш. части ном.на 1 обл</t>
  </si>
  <si>
    <t>Ден.ср-ва от погаш. номин.ст-ти обл. ООО ИЭК ХОЛДИНГ 4B02-02-00085-L-001P, И988153.   НДС не обл. Налог не удерживается.</t>
  </si>
  <si>
    <t>Част.погаш.номин. обл. АО ГТЛК 4B02-06-32432-H-001P, И988153, частичное досроч. погашение . Вел.погаш. части ном.на 1 обл. 16.56</t>
  </si>
  <si>
    <t>Част.погаш.номин. обл. ООО СФО ВТБ РКС-1 4-01-00586-R, И988153, частичное досроч. погашение . Вел.погаш. части ном.на 1 обл. 47.</t>
  </si>
  <si>
    <t>МКПАО ЯНДЕКС</t>
  </si>
  <si>
    <t>Част.погаш.номин. обл. ООО СФО ВТБ РКС-1 4-01-00586-R, И988153, частичное досроч. погашение . Вел.погаш. части ном.на 1 обл. 42.</t>
  </si>
  <si>
    <t>Аэрофлот-росс.авиалин(ПАО)ао</t>
  </si>
  <si>
    <t>Част.погаш.номин. обл. ООО СФО ВТБ РКС-1 4-01-00586-R, И988153, частичное досроч. погашение . Вел.погаш. части ном.на 1 обл. 39.</t>
  </si>
  <si>
    <t>Част.погаш.номин. обл. АО ГТЛК 4B02-06-32432-H-001P, И988153, частичное досроч. погашение . Вел.погаш. части ном.на 1 обл. 17.25</t>
  </si>
  <si>
    <t>Част.погаш.номин. обл. ООО СФО ВТБ РКС-1 4-01-00586-R, И988153, частичное досроч. погашение . Вел.погаш. части ном.на 1 обл. 36.</t>
  </si>
  <si>
    <t>Погашение номинальной стоимости облигаций ООО СФО ВТБ РКС-1 ISIN RU000A1032P1, размер выплаты на 1 ц/б 34.96 RUB .</t>
  </si>
  <si>
    <t>Погашение номинальной стоимости облигаций ООО Интерлизинг ISIN RU000A1077X0, размер выплаты на 1 ц/б 40 RUB .</t>
  </si>
  <si>
    <t>Погашение номинальной стоимости облигаций АО ГТЛК ISIN RU000A0ZYAP9, размер выплаты на 1 ц/б 17.38 RUB .</t>
  </si>
  <si>
    <t>Погашение номинальной стоимости облигаций ООО СФО ВТБ РКС-1 ISIN RU000A1032P1, размер выплаты на 1 ц/б 32.45 RUB .</t>
  </si>
  <si>
    <t>Погашение номинальной стоимости облигаций ООО СФО ВТБ РКС Эталон ISIN RU000A105G99, размер выплаты на 1 ц/б 29.61 RUB .</t>
  </si>
  <si>
    <t>Погашение номинальной стоимости облигаций ПАО ГК Самолет ISIN RU000A104YT6, размер выплаты на 1 ц/б 1000 RUB .</t>
  </si>
  <si>
    <t>Погашение номинальной стоимости облигаций ООО СФО ВТБ РКС-1 ISIN RU000A1032P1, размер выплаты на 1 ц/б 32.8 RUB .</t>
  </si>
  <si>
    <t>Погашение номинальной стоимости облигаций ООО СФО ВТБ РКС Эталон ISIN RU000A105G99, размер выплаты на 1 ц/б 28.19 RUB .</t>
  </si>
  <si>
    <t>Погашение номинальной стоимости облигаций ООО СФО ВТБ РКС-1 ISIN RU000A1032P1, размер выплаты на 1 ц/б 31.64 RUB .</t>
  </si>
  <si>
    <t>Погашение номинальной стоимости облигаций ООО СФО ВТБ РКС Эталон ISIN RU000A105G99, размер выплаты на 1 ц/б 27.98 RUB .</t>
  </si>
  <si>
    <t>Погашение номинальной стоимости облигаций АО ГТЛК ISIN RU000A0ZYAP9, размер выплаты на 1 ц/б 17.91 RUB .</t>
  </si>
  <si>
    <t>Погашение номинальной стоимости облигаций ООО Балтийский лизинг ISIN RU000A1058M3, размер выплаты на 1 ц/б 340 RUB .</t>
  </si>
  <si>
    <t>Погашение номинальной стоимости облигаций ООО СФО ВТБ РКС-1 ISIN RU000A1032P1, размер выплаты на 1 ц/б 28.87 RUB .</t>
  </si>
  <si>
    <t>Погашение номинальной стоимости облигаций ООО СФО ВТБ РКС Эталон ISIN RU000A105G99, размер выплаты на 1 ц/б 25.63 RUB .</t>
  </si>
  <si>
    <t>ПАО Фикс Прайс</t>
  </si>
  <si>
    <t>Корпоративный центр ИКС 5</t>
  </si>
  <si>
    <t>Погашение номинальной стоимости облигаций ООО СФО ВТБ РКС-1 ISIN RU000A1032P1, размер выплаты на 1 ц/б 31.31 RUB .</t>
  </si>
  <si>
    <t>Погашение номинальной стоимости облигаций Минфин России ISIN RU000A100EG3, размер выплаты на 1 ц/б 1000 RUB .</t>
  </si>
  <si>
    <t>Погашение номинальной стоимости облигаций ООО ЭНЕРГОНИКА ISIN RU000A106R79, размер выплаты на 1 ц/б 100 RUB .</t>
  </si>
  <si>
    <t>Погашение номинальной стоимости облигаций ООО СФО ВТБ РКС-1 ISIN RU000A1032P1, размер выплаты на 1 ц/б 29.98 RUB .</t>
  </si>
  <si>
    <t>Погашение номинальной стоимости облигаций ООО СФО ВТБ РКС Эталон ISIN RU000A105G99, размер выплаты на 1 ц/б 25.79 RUB .</t>
  </si>
  <si>
    <t>Погашение номинальной стоимости облигаций АО ГТЛК ISIN RU000A0ZYAP9, размер выплаты на 1 ц/б 18.64 RUB .</t>
  </si>
  <si>
    <t>ОФЗ-ПД 26254 03/10/2040</t>
  </si>
  <si>
    <t>Погашение номинальной стоимости облигаций АО ИЭК ХОЛДИНГ ISIN RU000A105PR5, размер выплаты на 1 ц/б 1000 RUB .</t>
  </si>
  <si>
    <t>ГК Самолет БО-П20</t>
  </si>
  <si>
    <t>ГК Самолет БО-П18</t>
  </si>
  <si>
    <t>Погашение номинальной стоимости облигаций ООО СФО ВТБ РКС Эталон ISIN RU000A105G99, размер выплаты на 1 ц/б 23.82 RUB .</t>
  </si>
  <si>
    <t>Погашение номинальной стоимости облигаций ООО СФО ВТБ РКС Эталон ISIN RU000A105G99, размер выплаты на 1 ц/б 25.62 RUB 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</si>
  <si>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</si>
  <si>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</si>
  <si>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</si>
  <si>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</si>
  <si>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</si>
  <si>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</si>
  <si>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</si>
  <si>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</si>
  <si>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</si>
  <si>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</si>
  <si>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</si>
  <si>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ВТБ ИИС</t>
  </si>
  <si>
    <t>Сбербанк-п</t>
  </si>
  <si>
    <t>iЭлемент</t>
  </si>
  <si>
    <t>Полюс</t>
  </si>
  <si>
    <t>Купон</t>
  </si>
  <si>
    <t>Казахст01</t>
  </si>
  <si>
    <t>КЛС БО-02</t>
  </si>
  <si>
    <t>ИЭКХолд1Р2</t>
  </si>
  <si>
    <t>АПРИФП 2Р2</t>
  </si>
  <si>
    <t>РКК БО-01</t>
  </si>
  <si>
    <t>РН БАНК1Р9</t>
  </si>
  <si>
    <t>ИЭКХолд1Р1</t>
  </si>
  <si>
    <t>БалтЛизБП6</t>
  </si>
  <si>
    <t>ОФЗ 26229</t>
  </si>
  <si>
    <t>СамолетP12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</si>
  <si>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</si>
  <si>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</si>
  <si>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</si>
  <si>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</si>
  <si>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</si>
  <si>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</si>
  <si>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</si>
  <si>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</si>
  <si>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</si>
  <si>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</si>
  <si>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</si>
  <si>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</si>
  <si>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</si>
  <si>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</si>
  <si>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</si>
  <si>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</si>
  <si>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РуссНфт ао</t>
  </si>
  <si>
    <t>ПИФ Акции</t>
  </si>
  <si>
    <t>ПИК ао</t>
  </si>
  <si>
    <t>Совкомфлот</t>
  </si>
  <si>
    <t>СПБ Биржа</t>
  </si>
  <si>
    <t>М.видео</t>
  </si>
  <si>
    <t>Мечел ап</t>
  </si>
  <si>
    <t>МТС Банк</t>
  </si>
  <si>
    <t>ЭН+ГРУП ао</t>
  </si>
  <si>
    <t>ЯНДЕКС</t>
  </si>
  <si>
    <t>Аэрофлот</t>
  </si>
  <si>
    <t>КЦ ИКС 5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</si>
</sst>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DED8D7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7" t="n">
        <v>117</v>
      </c>
      <c r="F2" s="6" t="n">
        <v>391.25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-0.0011</v>
      </c>
      <c r="L2" s="6" t="n">
        <v>448.53</v>
      </c>
      <c r="M2" s="17" t="n">
        <v>3.4</v>
      </c>
      <c r="N2" s="16"/>
      <c r="O2" s="16" t="s">
        <v>21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22</v>
      </c>
      <c r="B3" s="16" t="s">
        <v>18</v>
      </c>
      <c r="C3" s="16" t="s">
        <v>23</v>
      </c>
      <c r="D3" s="16" t="s">
        <v>20</v>
      </c>
      <c r="E3" s="7" t="n">
        <v>35000</v>
      </c>
      <c r="F3" s="6" t="n">
        <v>0.5697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-0.11</v>
      </c>
      <c r="L3" s="6" t="n">
        <v>0.64</v>
      </c>
      <c r="M3" s="17" t="n">
        <v>1.48</v>
      </c>
      <c r="N3" s="16"/>
      <c r="O3" s="16" t="s">
        <v>24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18</v>
      </c>
      <c r="C4" s="16" t="s">
        <v>26</v>
      </c>
      <c r="D4" s="16" t="s">
        <v>20</v>
      </c>
      <c r="E4" s="7" t="n">
        <v>400</v>
      </c>
      <c r="F4" s="6" t="n">
        <v>42.04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0.2254</v>
      </c>
      <c r="L4" s="6" t="n">
        <v>38</v>
      </c>
      <c r="M4" s="17" t="n">
        <v>1.25</v>
      </c>
      <c r="N4" s="16"/>
      <c r="O4" s="16" t="s">
        <v>27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18</v>
      </c>
      <c r="C5" s="16" t="s">
        <v>29</v>
      </c>
      <c r="D5" s="16" t="s">
        <v>20</v>
      </c>
      <c r="E5" s="7" t="n">
        <v>50</v>
      </c>
      <c r="F5" s="6" t="n">
        <v>316.3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0.4806</v>
      </c>
      <c r="L5" s="6" t="n">
        <v>226.86</v>
      </c>
      <c r="M5" s="17" t="n">
        <v>1.18</v>
      </c>
      <c r="N5" s="16"/>
      <c r="O5" s="16" t="s">
        <v>30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18</v>
      </c>
      <c r="C6" s="16" t="s">
        <v>32</v>
      </c>
      <c r="D6" s="16" t="s">
        <v>20</v>
      </c>
      <c r="E6" s="7" t="n">
        <v>100</v>
      </c>
      <c r="F6" s="6" t="n">
        <v>87.29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0.8245</v>
      </c>
      <c r="L6" s="6" t="n">
        <v>70.52</v>
      </c>
      <c r="M6" s="17" t="n">
        <v>0.65</v>
      </c>
      <c r="N6" s="16"/>
      <c r="O6" s="16" t="s">
        <v>33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18</v>
      </c>
      <c r="C7" s="16" t="s">
        <v>35</v>
      </c>
      <c r="D7" s="16" t="s">
        <v>20</v>
      </c>
      <c r="E7" s="7" t="n">
        <v>900</v>
      </c>
      <c r="F7" s="6" t="n">
        <v>8.845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0.1187</v>
      </c>
      <c r="L7" s="6" t="n">
        <v>8.33</v>
      </c>
      <c r="M7" s="17" t="n">
        <v>0.59</v>
      </c>
      <c r="N7" s="16"/>
      <c r="O7" s="16" t="s">
        <v>36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18</v>
      </c>
      <c r="C8" s="16" t="s">
        <v>38</v>
      </c>
      <c r="D8" s="16" t="s">
        <v>20</v>
      </c>
      <c r="E8" s="7" t="n">
        <v>50</v>
      </c>
      <c r="F8" s="6" t="n">
        <v>156.5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0.3029</v>
      </c>
      <c r="L8" s="6" t="n">
        <v>112.53</v>
      </c>
      <c r="M8" s="17" t="n">
        <v>0.58</v>
      </c>
      <c r="N8" s="16"/>
      <c r="O8" s="16" t="s">
        <v>39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18</v>
      </c>
      <c r="C9" s="16" t="s">
        <v>41</v>
      </c>
      <c r="D9" s="16" t="s">
        <v>20</v>
      </c>
      <c r="E9" s="7" t="n">
        <v>500</v>
      </c>
      <c r="F9" s="6" t="n">
        <v>13.94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-0.0223</v>
      </c>
      <c r="L9" s="6" t="n">
        <v>14.75</v>
      </c>
      <c r="M9" s="17" t="n">
        <v>0.52</v>
      </c>
      <c r="N9" s="16"/>
      <c r="O9" s="16" t="s">
        <v>42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18</v>
      </c>
      <c r="C10" s="16" t="s">
        <v>44</v>
      </c>
      <c r="D10" s="16" t="s">
        <v>20</v>
      </c>
      <c r="E10" s="7" t="n">
        <v>2</v>
      </c>
      <c r="F10" s="6" t="n">
        <v>3345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-0.2586</v>
      </c>
      <c r="L10" s="6" t="n">
        <v>5546.18</v>
      </c>
      <c r="M10" s="17" t="n">
        <v>0.5</v>
      </c>
      <c r="N10" s="16"/>
      <c r="O10" s="16" t="s">
        <v>45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18</v>
      </c>
      <c r="C11" s="16" t="s">
        <v>47</v>
      </c>
      <c r="D11" s="16" t="s">
        <v>20</v>
      </c>
      <c r="E11" s="7" t="n">
        <v>7</v>
      </c>
      <c r="F11" s="6" t="n">
        <v>867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0.1514</v>
      </c>
      <c r="L11" s="6" t="n">
        <v>674.63</v>
      </c>
      <c r="M11" s="17" t="n">
        <v>0.45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18</v>
      </c>
      <c r="C12" s="16" t="s">
        <v>50</v>
      </c>
      <c r="D12" s="16" t="s">
        <v>20</v>
      </c>
      <c r="E12" s="7" t="n">
        <v>12</v>
      </c>
      <c r="F12" s="6" t="n">
        <v>502.25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-0.0754</v>
      </c>
      <c r="L12" s="6" t="n">
        <v>655.45</v>
      </c>
      <c r="M12" s="17" t="n">
        <v>0.45</v>
      </c>
      <c r="N12" s="16"/>
      <c r="O12" s="16" t="s">
        <v>51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18</v>
      </c>
      <c r="C13" s="16" t="s">
        <v>53</v>
      </c>
      <c r="D13" s="16" t="s">
        <v>20</v>
      </c>
      <c r="E13" s="7" t="n">
        <v>5</v>
      </c>
      <c r="F13" s="6" t="n">
        <v>1188.4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-0.0047</v>
      </c>
      <c r="L13" s="6" t="n">
        <v>1341.07</v>
      </c>
      <c r="M13" s="17" t="n">
        <v>0.44</v>
      </c>
      <c r="N13" s="16"/>
      <c r="O13" s="16" t="s">
        <v>20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18</v>
      </c>
      <c r="C14" s="16" t="s">
        <v>55</v>
      </c>
      <c r="D14" s="16" t="s">
        <v>20</v>
      </c>
      <c r="E14" s="7" t="n">
        <v>1</v>
      </c>
      <c r="F14" s="6" t="n">
        <v>5182.5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0.3685</v>
      </c>
      <c r="L14" s="6" t="n">
        <v>3802.28</v>
      </c>
      <c r="M14" s="17" t="n">
        <v>0.39</v>
      </c>
      <c r="N14" s="16"/>
      <c r="O14" s="16" t="s">
        <v>56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18</v>
      </c>
      <c r="C15" s="16" t="s">
        <v>58</v>
      </c>
      <c r="D15" s="16" t="s">
        <v>20</v>
      </c>
      <c r="E15" s="7" t="n">
        <v>6000</v>
      </c>
      <c r="F15" s="6" t="n">
        <v>0.7972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0.0498</v>
      </c>
      <c r="L15" s="6" t="n">
        <v>0.74</v>
      </c>
      <c r="M15" s="17" t="n">
        <v>0.36</v>
      </c>
      <c r="N15" s="16"/>
      <c r="O15" s="16" t="s">
        <v>59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18</v>
      </c>
      <c r="C16" s="16" t="s">
        <v>61</v>
      </c>
      <c r="D16" s="16" t="s">
        <v>20</v>
      </c>
      <c r="E16" s="7" t="n">
        <v>200</v>
      </c>
      <c r="F16" s="6" t="n">
        <v>21.65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-0.1772</v>
      </c>
      <c r="L16" s="6" t="n">
        <v>32.29</v>
      </c>
      <c r="M16" s="17" t="n">
        <v>0.32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18</v>
      </c>
      <c r="C17" s="16" t="s">
        <v>64</v>
      </c>
      <c r="D17" s="16" t="s">
        <v>20</v>
      </c>
      <c r="E17" s="7" t="n">
        <v>2</v>
      </c>
      <c r="F17" s="6" t="n">
        <v>2060.5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0.936</v>
      </c>
      <c r="L17" s="6" t="n">
        <v>680.54</v>
      </c>
      <c r="M17" s="17" t="n">
        <v>0.31</v>
      </c>
      <c r="N17" s="16"/>
      <c r="O17" s="16" t="s">
        <v>65</v>
      </c>
      <c r="P17" s="17" t="n">
        <v>76.6342</v>
      </c>
      <c r="Q17" s="6" t="s">
        <f>=P17/$P$13</f>
      </c>
    </row>
    <row collapsed="false" customFormat="false" customHeight="false" hidden="false" ht="12.1" outlineLevel="0" r="18">
      <c r="A18" s="16" t="s">
        <v>66</v>
      </c>
      <c r="B18" s="16" t="s">
        <v>18</v>
      </c>
      <c r="C18" s="16" t="s">
        <v>67</v>
      </c>
      <c r="D18" s="16" t="s">
        <v>20</v>
      </c>
      <c r="E18" s="7" t="n">
        <v>2</v>
      </c>
      <c r="F18" s="6" t="n">
        <v>1416.8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0.1479</v>
      </c>
      <c r="L18" s="6" t="n">
        <v>1438.66</v>
      </c>
      <c r="M18" s="17" t="n">
        <v>0.21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68</v>
      </c>
      <c r="B19" s="16" t="s">
        <v>18</v>
      </c>
      <c r="C19" s="16" t="s">
        <v>69</v>
      </c>
      <c r="D19" s="16" t="s">
        <v>20</v>
      </c>
      <c r="E19" s="7" t="n">
        <v>200</v>
      </c>
      <c r="F19" s="6" t="n">
        <v>13.944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0.0748</v>
      </c>
      <c r="L19" s="6" t="n">
        <v>13.16</v>
      </c>
      <c r="M19" s="17" t="n">
        <v>0.21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70</v>
      </c>
      <c r="B20" s="16" t="s">
        <v>18</v>
      </c>
      <c r="C20" s="16" t="s">
        <v>71</v>
      </c>
      <c r="D20" s="16" t="s">
        <v>20</v>
      </c>
      <c r="E20" s="7" t="n">
        <v>50</v>
      </c>
      <c r="F20" s="6" t="n">
        <v>54.94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-0.0558</v>
      </c>
      <c r="L20" s="6" t="n">
        <v>60.44</v>
      </c>
      <c r="M20" s="17" t="n">
        <v>0.2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72</v>
      </c>
      <c r="B21" s="16" t="s">
        <v>18</v>
      </c>
      <c r="C21" s="16" t="s">
        <v>73</v>
      </c>
      <c r="D21" s="16" t="s">
        <v>20</v>
      </c>
      <c r="E21" s="7" t="n">
        <v>20</v>
      </c>
      <c r="F21" s="6" t="n">
        <v>106.42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-0.083</v>
      </c>
      <c r="L21" s="6" t="n">
        <v>115.33</v>
      </c>
      <c r="M21" s="17" t="n">
        <v>0.16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74</v>
      </c>
      <c r="B22" s="16" t="s">
        <v>18</v>
      </c>
      <c r="C22" s="16" t="s">
        <v>75</v>
      </c>
      <c r="D22" s="16" t="s">
        <v>20</v>
      </c>
      <c r="E22" s="7" t="n">
        <v>20</v>
      </c>
      <c r="F22" s="6" t="n">
        <v>109.96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-0.2388</v>
      </c>
      <c r="L22" s="6" t="n">
        <v>172.11</v>
      </c>
      <c r="M22" s="17" t="n">
        <v>0.16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76</v>
      </c>
      <c r="B23" s="16" t="s">
        <v>18</v>
      </c>
      <c r="C23" s="16" t="s">
        <v>77</v>
      </c>
      <c r="D23" s="16" t="s">
        <v>20</v>
      </c>
      <c r="E23" s="7" t="n">
        <v>10</v>
      </c>
      <c r="F23" s="6" t="n">
        <v>183.39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0.2748</v>
      </c>
      <c r="L23" s="6" t="n">
        <v>92.76</v>
      </c>
      <c r="M23" s="17" t="n">
        <v>0.14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78</v>
      </c>
      <c r="B24" s="16" t="s">
        <v>18</v>
      </c>
      <c r="C24" s="16" t="s">
        <v>79</v>
      </c>
      <c r="D24" s="16" t="s">
        <v>20</v>
      </c>
      <c r="E24" s="7" t="n">
        <v>4</v>
      </c>
      <c r="F24" s="6" t="n">
        <v>487.1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-0.0049</v>
      </c>
      <c r="L24" s="6" t="n">
        <v>596.43</v>
      </c>
      <c r="M24" s="17" t="n">
        <v>0.14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80</v>
      </c>
      <c r="B25" s="16" t="s">
        <v>18</v>
      </c>
      <c r="C25" s="16" t="s">
        <v>81</v>
      </c>
      <c r="D25" s="16" t="s">
        <v>20</v>
      </c>
      <c r="E25" s="7" t="n">
        <v>40</v>
      </c>
      <c r="F25" s="6" t="n">
        <v>39.6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-0.1066</v>
      </c>
      <c r="L25" s="6" t="n">
        <v>69.08</v>
      </c>
      <c r="M25" s="17" t="n">
        <v>0.12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82</v>
      </c>
      <c r="B26" s="16" t="s">
        <v>18</v>
      </c>
      <c r="C26" s="16" t="s">
        <v>83</v>
      </c>
      <c r="D26" s="16" t="s">
        <v>20</v>
      </c>
      <c r="E26" s="7" t="n">
        <v>1000</v>
      </c>
      <c r="F26" s="6" t="n">
        <v>1.614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0.0982</v>
      </c>
      <c r="L26" s="6" t="n">
        <v>1.43</v>
      </c>
      <c r="M26" s="17" t="n">
        <v>0.12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84</v>
      </c>
      <c r="B27" s="16" t="s">
        <v>18</v>
      </c>
      <c r="C27" s="16" t="s">
        <v>85</v>
      </c>
      <c r="D27" s="16" t="s">
        <v>20</v>
      </c>
      <c r="E27" s="7" t="n">
        <v>10</v>
      </c>
      <c r="F27" s="6" t="n">
        <v>159.65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-0.2779</v>
      </c>
      <c r="L27" s="6" t="n">
        <v>274.36</v>
      </c>
      <c r="M27" s="17" t="n">
        <v>0.12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86</v>
      </c>
      <c r="B28" s="16" t="s">
        <v>18</v>
      </c>
      <c r="C28" s="16" t="s">
        <v>87</v>
      </c>
      <c r="D28" s="16" t="s">
        <v>20</v>
      </c>
      <c r="E28" s="7" t="n">
        <v>2</v>
      </c>
      <c r="F28" s="6" t="n">
        <v>659.9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0.2739</v>
      </c>
      <c r="L28" s="6" t="n">
        <v>859.44</v>
      </c>
      <c r="M28" s="17" t="n">
        <v>0.1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88</v>
      </c>
      <c r="B29" s="16" t="s">
        <v>18</v>
      </c>
      <c r="C29" s="16" t="s">
        <v>89</v>
      </c>
      <c r="D29" s="16" t="s">
        <v>20</v>
      </c>
      <c r="E29" s="7" t="n">
        <v>20</v>
      </c>
      <c r="F29" s="6" t="n">
        <v>64.08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0.0104</v>
      </c>
      <c r="L29" s="6" t="n">
        <v>70.18</v>
      </c>
      <c r="M29" s="17" t="n">
        <v>0.1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90</v>
      </c>
      <c r="B30" s="16" t="s">
        <v>18</v>
      </c>
      <c r="C30" s="16" t="s">
        <v>91</v>
      </c>
      <c r="D30" s="16" t="s">
        <v>20</v>
      </c>
      <c r="E30" s="7" t="n">
        <v>400</v>
      </c>
      <c r="F30" s="6" t="n">
        <v>3.322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0.0958</v>
      </c>
      <c r="L30" s="6" t="n">
        <v>3.21</v>
      </c>
      <c r="M30" s="17" t="n">
        <v>0.1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92</v>
      </c>
      <c r="B31" s="16" t="s">
        <v>18</v>
      </c>
      <c r="C31" s="16" t="s">
        <v>93</v>
      </c>
      <c r="D31" s="16" t="s">
        <v>20</v>
      </c>
      <c r="E31" s="7" t="n">
        <v>1</v>
      </c>
      <c r="F31" s="6" t="n">
        <v>1237.2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-0.3818</v>
      </c>
      <c r="L31" s="6" t="n">
        <v>2699.76</v>
      </c>
      <c r="M31" s="17" t="n">
        <v>0.09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94</v>
      </c>
      <c r="B32" s="16" t="s">
        <v>18</v>
      </c>
      <c r="C32" s="16" t="s">
        <v>95</v>
      </c>
      <c r="D32" s="16" t="s">
        <v>20</v>
      </c>
      <c r="E32" s="7" t="n">
        <v>10</v>
      </c>
      <c r="F32" s="6" t="n">
        <v>126.75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-0.061</v>
      </c>
      <c r="L32" s="6" t="n">
        <v>207.29</v>
      </c>
      <c r="M32" s="17" t="n">
        <v>0.09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96</v>
      </c>
      <c r="B33" s="16" t="s">
        <v>18</v>
      </c>
      <c r="C33" s="16" t="s">
        <v>97</v>
      </c>
      <c r="D33" s="16" t="s">
        <v>20</v>
      </c>
      <c r="E33" s="7" t="n">
        <v>20</v>
      </c>
      <c r="F33" s="6" t="n">
        <v>57.17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0.1079</v>
      </c>
      <c r="L33" s="6" t="n">
        <v>45.32</v>
      </c>
      <c r="M33" s="17" t="n">
        <v>0.08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98</v>
      </c>
      <c r="B34" s="16" t="s">
        <v>18</v>
      </c>
      <c r="C34" s="16" t="s">
        <v>99</v>
      </c>
      <c r="D34" s="16" t="s">
        <v>20</v>
      </c>
      <c r="E34" s="7" t="n">
        <v>1</v>
      </c>
      <c r="F34" s="6" t="n">
        <v>915.8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0.4389</v>
      </c>
      <c r="L34" s="6" t="n">
        <v>1243.79</v>
      </c>
      <c r="M34" s="17" t="n">
        <v>0.07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100</v>
      </c>
      <c r="B35" s="16" t="s">
        <v>18</v>
      </c>
      <c r="C35" s="16" t="s">
        <v>101</v>
      </c>
      <c r="D35" s="16" t="s">
        <v>20</v>
      </c>
      <c r="E35" s="7" t="n">
        <v>1</v>
      </c>
      <c r="F35" s="6" t="n">
        <v>954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0.1291</v>
      </c>
      <c r="L35" s="6" t="n">
        <v>814.29</v>
      </c>
      <c r="M35" s="17" t="n">
        <v>0.07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102</v>
      </c>
      <c r="B36" s="16" t="s">
        <v>18</v>
      </c>
      <c r="C36" s="16" t="s">
        <v>103</v>
      </c>
      <c r="D36" s="16" t="s">
        <v>20</v>
      </c>
      <c r="E36" s="7" t="n">
        <v>13402</v>
      </c>
      <c r="F36" s="6" t="n">
        <v>0.07444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-0.0224</v>
      </c>
      <c r="L36" s="6" t="n">
        <v>0.09</v>
      </c>
      <c r="M36" s="17" t="n">
        <v>0.07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104</v>
      </c>
      <c r="B37" s="16" t="s">
        <v>18</v>
      </c>
      <c r="C37" s="16" t="s">
        <v>105</v>
      </c>
      <c r="D37" s="16" t="s">
        <v>20</v>
      </c>
      <c r="E37" s="7" t="n">
        <v>20</v>
      </c>
      <c r="F37" s="6" t="n">
        <v>37.965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-0.1003</v>
      </c>
      <c r="L37" s="6" t="n">
        <v>57.37</v>
      </c>
      <c r="M37" s="17" t="n">
        <v>0.06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106</v>
      </c>
      <c r="B38" s="16" t="s">
        <v>18</v>
      </c>
      <c r="C38" s="16" t="s">
        <v>107</v>
      </c>
      <c r="D38" s="16" t="s">
        <v>20</v>
      </c>
      <c r="E38" s="7" t="n">
        <v>3</v>
      </c>
      <c r="F38" s="6" t="n">
        <v>266.75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-0.3165</v>
      </c>
      <c r="L38" s="6" t="n">
        <v>555.28</v>
      </c>
      <c r="M38" s="17" t="n">
        <v>0.06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108</v>
      </c>
      <c r="B39" s="16" t="s">
        <v>18</v>
      </c>
      <c r="C39" s="16" t="s">
        <v>109</v>
      </c>
      <c r="D39" s="16" t="s">
        <v>20</v>
      </c>
      <c r="E39" s="7" t="n">
        <v>1</v>
      </c>
      <c r="F39" s="6" t="n">
        <v>706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0.25</v>
      </c>
      <c r="L39" s="6" t="n">
        <v>498.25</v>
      </c>
      <c r="M39" s="17" t="n">
        <v>0.05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110</v>
      </c>
      <c r="B40" s="16" t="s">
        <v>18</v>
      </c>
      <c r="C40" s="16" t="s">
        <v>111</v>
      </c>
      <c r="D40" s="16" t="s">
        <v>20</v>
      </c>
      <c r="E40" s="7" t="n">
        <v>10</v>
      </c>
      <c r="F40" s="6" t="n">
        <v>51.02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-0.0868</v>
      </c>
      <c r="L40" s="6" t="n">
        <v>76.71</v>
      </c>
      <c r="M40" s="17" t="n">
        <v>0.04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112</v>
      </c>
      <c r="B41" s="16" t="s">
        <v>18</v>
      </c>
      <c r="C41" s="16" t="s">
        <v>113</v>
      </c>
      <c r="D41" s="16" t="s">
        <v>20</v>
      </c>
      <c r="E41" s="7" t="n">
        <v>3</v>
      </c>
      <c r="F41" s="6" t="n">
        <v>74.14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-0.1037</v>
      </c>
      <c r="L41" s="6" t="n">
        <v>105.94</v>
      </c>
      <c r="M41" s="17" t="n">
        <v>0.02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114</v>
      </c>
      <c r="B42" s="16" t="s">
        <v>18</v>
      </c>
      <c r="C42" s="16" t="s">
        <v>115</v>
      </c>
      <c r="D42" s="16" t="s">
        <v>20</v>
      </c>
      <c r="E42" s="7" t="n">
        <v>3</v>
      </c>
      <c r="F42" s="6" t="n">
        <v>104.84</v>
      </c>
      <c r="G42" s="17" t="n">
        <v>0</v>
      </c>
      <c r="H42" s="6" t="n">
        <v>0</v>
      </c>
      <c r="I42" s="16"/>
      <c r="J42" s="6" t="s">
        <f>=E42*F42*Портфель!$Q$13</f>
      </c>
      <c r="K42" s="9" t="n">
        <v>-0.3331</v>
      </c>
      <c r="L42" s="6" t="n">
        <v>220.87</v>
      </c>
      <c r="M42" s="17" t="n">
        <v>0.02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116</v>
      </c>
      <c r="B43" s="16" t="s">
        <v>18</v>
      </c>
      <c r="C43" s="16" t="s">
        <v>117</v>
      </c>
      <c r="D43" s="16" t="s">
        <v>20</v>
      </c>
      <c r="E43" s="7" t="n">
        <v>10</v>
      </c>
      <c r="F43" s="6" t="n">
        <v>31.745</v>
      </c>
      <c r="G43" s="17" t="n">
        <v>0</v>
      </c>
      <c r="H43" s="6" t="n">
        <v>0</v>
      </c>
      <c r="I43" s="16"/>
      <c r="J43" s="6" t="s">
        <f>=E43*F43*Портфель!$Q$13</f>
      </c>
      <c r="K43" s="9" t="n">
        <v>0.037</v>
      </c>
      <c r="L43" s="6" t="n">
        <v>32.02</v>
      </c>
      <c r="M43" s="17" t="n">
        <v>0.02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118</v>
      </c>
      <c r="B44" s="16" t="s">
        <v>18</v>
      </c>
      <c r="C44" s="16" t="s">
        <v>119</v>
      </c>
      <c r="D44" s="16" t="s">
        <v>20</v>
      </c>
      <c r="E44" s="7" t="n">
        <v>100</v>
      </c>
      <c r="F44" s="6" t="n">
        <v>1.298</v>
      </c>
      <c r="G44" s="17" t="n">
        <v>0</v>
      </c>
      <c r="H44" s="6" t="n">
        <v>0</v>
      </c>
      <c r="I44" s="16"/>
      <c r="J44" s="6" t="s">
        <f>=E44*F44*Портфель!$Q$13</f>
      </c>
      <c r="K44" s="9" t="n">
        <v>-0.2353</v>
      </c>
      <c r="L44" s="6" t="n">
        <v>7.21</v>
      </c>
      <c r="M44" s="17" t="n">
        <v>0.01</v>
      </c>
      <c r="N44" s="16"/>
      <c r="O44" s="16"/>
      <c r="P44" s="17"/>
      <c r="Q44" s="17"/>
    </row>
    <row collapsed="false" customFormat="false" customHeight="false" hidden="false" ht="12.1" outlineLevel="0" r="45">
      <c r="A45" s="16"/>
      <c r="B45" s="16"/>
      <c r="C45" s="16"/>
      <c r="D45" s="16"/>
      <c r="E45" s="7"/>
      <c r="F45" s="6"/>
      <c r="G45" s="4"/>
      <c r="H45" s="4" t="s">
        <v>120</v>
      </c>
      <c r="I45" s="4"/>
      <c r="J45" s="5" t="s">
        <f>=SUM(J2:J44)</f>
      </c>
      <c r="K45" s="4"/>
      <c r="L45" s="4"/>
      <c r="M45" s="10" t="s">
        <f>=J45/J91</f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121</v>
      </c>
      <c r="B46" s="16" t="s">
        <v>122</v>
      </c>
      <c r="C46" s="16" t="s">
        <v>123</v>
      </c>
      <c r="D46" s="16" t="s">
        <v>20</v>
      </c>
      <c r="E46" s="7" t="n">
        <v>1357</v>
      </c>
      <c r="F46" s="6" t="n">
        <v>195.1</v>
      </c>
      <c r="G46" s="17" t="n">
        <v>0</v>
      </c>
      <c r="H46" s="6" t="n">
        <v>0</v>
      </c>
      <c r="I46" s="16"/>
      <c r="J46" s="6" t="s">
        <f>=E46*F46*Портфель!$Q$13</f>
      </c>
      <c r="K46" s="9" t="n">
        <v>0.2007</v>
      </c>
      <c r="L46" s="6" t="n">
        <v>180.08</v>
      </c>
      <c r="M46" s="17" t="n">
        <v>19.67</v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124</v>
      </c>
      <c r="B47" s="16" t="s">
        <v>122</v>
      </c>
      <c r="C47" s="16" t="s">
        <v>125</v>
      </c>
      <c r="D47" s="16" t="s">
        <v>20</v>
      </c>
      <c r="E47" s="7" t="n">
        <v>1016</v>
      </c>
      <c r="F47" s="6" t="n">
        <v>144.3</v>
      </c>
      <c r="G47" s="17" t="n">
        <v>0</v>
      </c>
      <c r="H47" s="6" t="n">
        <v>0</v>
      </c>
      <c r="I47" s="16"/>
      <c r="J47" s="6" t="s">
        <f>=E47*F47*Портфель!$Q$13</f>
      </c>
      <c r="K47" s="9" t="n">
        <v>0.2364</v>
      </c>
      <c r="L47" s="6" t="n">
        <v>131.11</v>
      </c>
      <c r="M47" s="17" t="n">
        <v>10.89</v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126</v>
      </c>
      <c r="B48" s="16" t="s">
        <v>122</v>
      </c>
      <c r="C48" s="16" t="s">
        <v>127</v>
      </c>
      <c r="D48" s="16" t="s">
        <v>33</v>
      </c>
      <c r="E48" s="7" t="n">
        <v>769</v>
      </c>
      <c r="F48" s="6" t="n">
        <v>11.24</v>
      </c>
      <c r="G48" s="17" t="n">
        <v>0</v>
      </c>
      <c r="H48" s="6" t="n">
        <v>0</v>
      </c>
      <c r="I48" s="16"/>
      <c r="J48" s="6" t="s">
        <f>=E48*F48*Портфель!$Q$6</f>
      </c>
      <c r="K48" s="9" t="n">
        <v>-0.0329</v>
      </c>
      <c r="L48" s="6" t="n">
        <v>136.23</v>
      </c>
      <c r="M48" s="17" t="n">
        <v>7.14</v>
      </c>
      <c r="N48" s="16"/>
      <c r="O48" s="16"/>
      <c r="P48" s="17"/>
      <c r="Q48" s="17"/>
    </row>
    <row collapsed="false" customFormat="false" customHeight="false" hidden="false" ht="12.1" outlineLevel="0" r="49">
      <c r="A49" s="16" t="s">
        <v>128</v>
      </c>
      <c r="B49" s="16" t="s">
        <v>122</v>
      </c>
      <c r="C49" s="16" t="s">
        <v>129</v>
      </c>
      <c r="D49" s="16" t="s">
        <v>20</v>
      </c>
      <c r="E49" s="7" t="n">
        <v>30898</v>
      </c>
      <c r="F49" s="6" t="n">
        <v>1.9299</v>
      </c>
      <c r="G49" s="17" t="n">
        <v>0</v>
      </c>
      <c r="H49" s="6" t="n">
        <v>0</v>
      </c>
      <c r="I49" s="16"/>
      <c r="J49" s="6" t="s">
        <f>=E49*F49*Портфель!$Q$13</f>
      </c>
      <c r="K49" s="9" t="n">
        <v>0.1679</v>
      </c>
      <c r="L49" s="6" t="n">
        <v>1.83</v>
      </c>
      <c r="M49" s="17" t="n">
        <v>4.43</v>
      </c>
      <c r="N49" s="16"/>
      <c r="O49" s="16"/>
      <c r="P49" s="17"/>
      <c r="Q49" s="17"/>
    </row>
    <row collapsed="false" customFormat="false" customHeight="false" hidden="false" ht="12.1" outlineLevel="0" r="50">
      <c r="A50" s="16" t="s">
        <v>130</v>
      </c>
      <c r="B50" s="16" t="s">
        <v>122</v>
      </c>
      <c r="C50" s="16" t="s">
        <v>131</v>
      </c>
      <c r="D50" s="16" t="s">
        <v>20</v>
      </c>
      <c r="E50" s="7" t="n">
        <v>15464</v>
      </c>
      <c r="F50" s="6" t="n">
        <v>3.125</v>
      </c>
      <c r="G50" s="17" t="n">
        <v>0</v>
      </c>
      <c r="H50" s="6" t="n">
        <v>0</v>
      </c>
      <c r="I50" s="16"/>
      <c r="J50" s="6" t="s">
        <f>=E50*F50*Портфель!$Q$13</f>
      </c>
      <c r="K50" s="9" t="n">
        <v>0.408</v>
      </c>
      <c r="L50" s="6" t="n">
        <v>1.54</v>
      </c>
      <c r="M50" s="17" t="n">
        <v>3.59</v>
      </c>
      <c r="N50" s="16" t="s">
        <v>132</v>
      </c>
      <c r="O50" s="16"/>
      <c r="P50" s="17"/>
      <c r="Q50" s="17"/>
    </row>
    <row collapsed="false" customFormat="false" customHeight="false" hidden="false" ht="12.1" outlineLevel="0" r="51">
      <c r="A51" s="16"/>
      <c r="B51" s="16"/>
      <c r="C51" s="16"/>
      <c r="D51" s="16"/>
      <c r="E51" s="7"/>
      <c r="F51" s="6"/>
      <c r="G51" s="4"/>
      <c r="H51" s="4" t="s">
        <v>133</v>
      </c>
      <c r="I51" s="4"/>
      <c r="J51" s="5" t="s">
        <f>=SUM(J46:J50)</f>
      </c>
      <c r="K51" s="4"/>
      <c r="L51" s="4"/>
      <c r="M51" s="10" t="s">
        <f>=J51/J91</f>
      </c>
      <c r="N51" s="16"/>
      <c r="O51" s="16"/>
      <c r="P51" s="17"/>
      <c r="Q51" s="17"/>
    </row>
    <row collapsed="false" customFormat="false" customHeight="false" hidden="false" ht="12.1" outlineLevel="0" r="52">
      <c r="A52" s="16" t="s">
        <v>134</v>
      </c>
      <c r="B52" s="16" t="s">
        <v>135</v>
      </c>
      <c r="C52" s="16" t="s">
        <v>136</v>
      </c>
      <c r="D52" s="16" t="s">
        <v>20</v>
      </c>
      <c r="E52" s="7" t="n">
        <v>88</v>
      </c>
      <c r="F52" s="6" t="n">
        <v>60.009</v>
      </c>
      <c r="G52" s="17" t="n">
        <v>1000</v>
      </c>
      <c r="H52" s="6" t="n">
        <v>16.53</v>
      </c>
      <c r="I52" s="16" t="s">
        <v>137</v>
      </c>
      <c r="J52" s="6" t="s">
        <f>=E52*((F52/100*G52)*Портфель!$Q$13 + H52*Портфель!$Q$13) </f>
      </c>
      <c r="K52" s="9" t="n">
        <v>0.169</v>
      </c>
      <c r="L52" s="6" t="n">
        <v>559.92</v>
      </c>
      <c r="M52" s="17" t="n">
        <v>4.03</v>
      </c>
      <c r="N52" s="16"/>
      <c r="O52" s="16"/>
      <c r="P52" s="17"/>
      <c r="Q52" s="17"/>
    </row>
    <row collapsed="false" customFormat="false" customHeight="false" hidden="false" ht="12.1" outlineLevel="0" r="53">
      <c r="A53" s="16" t="s">
        <v>138</v>
      </c>
      <c r="B53" s="16" t="s">
        <v>135</v>
      </c>
      <c r="C53" s="16" t="s">
        <v>139</v>
      </c>
      <c r="D53" s="16" t="s">
        <v>20</v>
      </c>
      <c r="E53" s="7" t="n">
        <v>80</v>
      </c>
      <c r="F53" s="6" t="n">
        <v>62.958</v>
      </c>
      <c r="G53" s="17" t="n">
        <v>1000</v>
      </c>
      <c r="H53" s="6" t="n">
        <v>2.88</v>
      </c>
      <c r="I53" s="16" t="s">
        <v>140</v>
      </c>
      <c r="J53" s="6" t="s">
        <f>=E53*((F53/100*G53)*Портфель!$Q$13 + H53*Портфель!$Q$13) </f>
      </c>
      <c r="K53" s="9" t="n">
        <v>0.1546</v>
      </c>
      <c r="L53" s="6" t="n">
        <v>600.48</v>
      </c>
      <c r="M53" s="17" t="n">
        <v>3.76</v>
      </c>
      <c r="N53" s="16"/>
      <c r="O53" s="16"/>
      <c r="P53" s="17"/>
      <c r="Q53" s="17"/>
    </row>
    <row collapsed="false" customFormat="false" customHeight="false" hidden="false" ht="12.1" outlineLevel="0" r="54">
      <c r="A54" s="16" t="s">
        <v>141</v>
      </c>
      <c r="B54" s="16" t="s">
        <v>135</v>
      </c>
      <c r="C54" s="16" t="s">
        <v>142</v>
      </c>
      <c r="D54" s="16" t="s">
        <v>20</v>
      </c>
      <c r="E54" s="7" t="n">
        <v>53</v>
      </c>
      <c r="F54" s="6" t="n">
        <v>75.295</v>
      </c>
      <c r="G54" s="17" t="n">
        <v>1000</v>
      </c>
      <c r="H54" s="6" t="n">
        <v>22.82</v>
      </c>
      <c r="I54" s="16" t="s">
        <v>143</v>
      </c>
      <c r="J54" s="6" t="s">
        <f>=E54*((F54/100*G54)*Портфель!$Q$13 + H54*Портфель!$Q$13) </f>
      </c>
      <c r="K54" s="9" t="n">
        <v>0.1926</v>
      </c>
      <c r="L54" s="6" t="n">
        <v>702.06</v>
      </c>
      <c r="M54" s="17" t="n">
        <v>3.06</v>
      </c>
      <c r="N54" s="16"/>
      <c r="O54" s="16"/>
      <c r="P54" s="17"/>
      <c r="Q54" s="17"/>
    </row>
    <row collapsed="false" customFormat="false" customHeight="false" hidden="false" ht="12.1" outlineLevel="0" r="55">
      <c r="A55" s="16" t="s">
        <v>144</v>
      </c>
      <c r="B55" s="16" t="s">
        <v>135</v>
      </c>
      <c r="C55" s="16" t="s">
        <v>145</v>
      </c>
      <c r="D55" s="16" t="s">
        <v>20</v>
      </c>
      <c r="E55" s="7" t="n">
        <v>40</v>
      </c>
      <c r="F55" s="6" t="n">
        <v>86.655</v>
      </c>
      <c r="G55" s="17" t="n">
        <v>1000</v>
      </c>
      <c r="H55" s="6" t="n">
        <v>47.78</v>
      </c>
      <c r="I55" s="16" t="s">
        <v>146</v>
      </c>
      <c r="J55" s="6" t="s">
        <f>=E55*((F55/100*G55)*Портфель!$Q$13 + H55*Портфель!$Q$13) </f>
      </c>
      <c r="K55" s="9" t="n">
        <v>0.132</v>
      </c>
      <c r="L55" s="6" t="n">
        <v>885.01</v>
      </c>
      <c r="M55" s="17" t="n">
        <v>2.72</v>
      </c>
      <c r="N55" s="16"/>
      <c r="O55" s="16"/>
      <c r="P55" s="17"/>
      <c r="Q55" s="17"/>
    </row>
    <row collapsed="false" customFormat="false" customHeight="false" hidden="false" ht="12.1" outlineLevel="0" r="56">
      <c r="A56" s="16" t="s">
        <v>147</v>
      </c>
      <c r="B56" s="16" t="s">
        <v>135</v>
      </c>
      <c r="C56" s="16" t="s">
        <v>148</v>
      </c>
      <c r="D56" s="16" t="s">
        <v>20</v>
      </c>
      <c r="E56" s="7" t="n">
        <v>41</v>
      </c>
      <c r="F56" s="6" t="n">
        <v>88.58</v>
      </c>
      <c r="G56" s="17" t="n">
        <v>1000</v>
      </c>
      <c r="H56" s="6" t="n">
        <v>3.35</v>
      </c>
      <c r="I56" s="16" t="s">
        <v>149</v>
      </c>
      <c r="J56" s="6" t="s">
        <f>=E56*((F56/100*G56)*Портфель!$Q$13 + H56*Портфель!$Q$13) </f>
      </c>
      <c r="K56" s="9" t="n">
        <v>0.0695</v>
      </c>
      <c r="L56" s="6" t="n">
        <v>932.06</v>
      </c>
      <c r="M56" s="17" t="n">
        <v>2.71</v>
      </c>
      <c r="N56" s="16"/>
      <c r="O56" s="16"/>
      <c r="P56" s="17"/>
      <c r="Q56" s="17"/>
    </row>
    <row collapsed="false" customFormat="false" customHeight="false" hidden="false" ht="12.1" outlineLevel="0" r="57">
      <c r="A57" s="16" t="s">
        <v>150</v>
      </c>
      <c r="B57" s="16" t="s">
        <v>135</v>
      </c>
      <c r="C57" s="16" t="s">
        <v>151</v>
      </c>
      <c r="D57" s="16" t="s">
        <v>20</v>
      </c>
      <c r="E57" s="7" t="n">
        <v>45</v>
      </c>
      <c r="F57" s="6" t="n">
        <v>71.859</v>
      </c>
      <c r="G57" s="17" t="n">
        <v>1000</v>
      </c>
      <c r="H57" s="6" t="n">
        <v>31.22</v>
      </c>
      <c r="I57" s="16" t="s">
        <v>152</v>
      </c>
      <c r="J57" s="6" t="s">
        <f>=E57*((F57/100*G57)*Портфель!$Q$13 + H57*Портфель!$Q$13) </f>
      </c>
      <c r="K57" s="9" t="n">
        <v>0.1349</v>
      </c>
      <c r="L57" s="6" t="n">
        <v>705.33</v>
      </c>
      <c r="M57" s="17" t="n">
        <v>2.51</v>
      </c>
      <c r="N57" s="16"/>
      <c r="O57" s="16"/>
      <c r="P57" s="17"/>
      <c r="Q57" s="17"/>
    </row>
    <row collapsed="false" customFormat="false" customHeight="false" hidden="false" ht="12.1" outlineLevel="0" r="58">
      <c r="A58" s="16" t="s">
        <v>153</v>
      </c>
      <c r="B58" s="16" t="s">
        <v>135</v>
      </c>
      <c r="C58" s="16" t="s">
        <v>154</v>
      </c>
      <c r="D58" s="16" t="s">
        <v>20</v>
      </c>
      <c r="E58" s="7" t="n">
        <v>34</v>
      </c>
      <c r="F58" s="6" t="n">
        <v>88.45</v>
      </c>
      <c r="G58" s="17" t="n">
        <v>1000</v>
      </c>
      <c r="H58" s="6" t="n">
        <v>50.96</v>
      </c>
      <c r="I58" s="16" t="s">
        <v>155</v>
      </c>
      <c r="J58" s="6" t="s">
        <f>=E58*((F58/100*G58)*Портфель!$Q$13 + H58*Портфель!$Q$13) </f>
      </c>
      <c r="K58" s="9" t="n">
        <v>0.2121</v>
      </c>
      <c r="L58" s="6" t="n">
        <v>824.43</v>
      </c>
      <c r="M58" s="17" t="n">
        <v>2.36</v>
      </c>
      <c r="N58" s="16"/>
      <c r="O58" s="16"/>
      <c r="P58" s="17"/>
      <c r="Q58" s="17"/>
    </row>
    <row collapsed="false" customFormat="false" customHeight="false" hidden="false" ht="12.1" outlineLevel="0" r="59">
      <c r="A59" s="16" t="s">
        <v>156</v>
      </c>
      <c r="B59" s="16" t="s">
        <v>135</v>
      </c>
      <c r="C59" s="16" t="s">
        <v>157</v>
      </c>
      <c r="D59" s="16" t="s">
        <v>20</v>
      </c>
      <c r="E59" s="7" t="n">
        <v>34</v>
      </c>
      <c r="F59" s="6" t="n">
        <v>83.389</v>
      </c>
      <c r="G59" s="17" t="n">
        <v>1000</v>
      </c>
      <c r="H59" s="6" t="n">
        <v>29.74</v>
      </c>
      <c r="I59" s="16" t="s">
        <v>158</v>
      </c>
      <c r="J59" s="6" t="s">
        <f>=E59*((F59/100*G59)*Портфель!$Q$13 + H59*Портфель!$Q$13) </f>
      </c>
      <c r="K59" s="9" t="n">
        <v>0.1133</v>
      </c>
      <c r="L59" s="6" t="n">
        <v>796.17</v>
      </c>
      <c r="M59" s="17" t="n">
        <v>2.18</v>
      </c>
      <c r="N59" s="16"/>
      <c r="O59" s="16"/>
      <c r="P59" s="17"/>
      <c r="Q59" s="17"/>
    </row>
    <row collapsed="false" customFormat="false" customHeight="false" hidden="false" ht="12.1" outlineLevel="0" r="60">
      <c r="A60" s="16" t="s">
        <v>159</v>
      </c>
      <c r="B60" s="16" t="s">
        <v>135</v>
      </c>
      <c r="C60" s="16" t="s">
        <v>160</v>
      </c>
      <c r="D60" s="16" t="s">
        <v>20</v>
      </c>
      <c r="E60" s="7" t="n">
        <v>34</v>
      </c>
      <c r="F60" s="6" t="n">
        <v>80.277</v>
      </c>
      <c r="G60" s="17" t="n">
        <v>1000</v>
      </c>
      <c r="H60" s="6" t="n">
        <v>23.95</v>
      </c>
      <c r="I60" s="16" t="s">
        <v>161</v>
      </c>
      <c r="J60" s="6" t="s">
        <f>=E60*((F60/100*G60)*Портфель!$Q$13 + H60*Портфель!$Q$13) </f>
      </c>
      <c r="K60" s="9" t="n">
        <v>0.2202</v>
      </c>
      <c r="L60" s="6" t="n">
        <v>731.77</v>
      </c>
      <c r="M60" s="17" t="n">
        <v>2.09</v>
      </c>
      <c r="N60" s="16"/>
      <c r="O60" s="16"/>
      <c r="P60" s="17"/>
      <c r="Q60" s="17"/>
    </row>
    <row collapsed="false" customFormat="false" customHeight="false" hidden="false" ht="12.1" outlineLevel="0" r="61">
      <c r="A61" s="16" t="s">
        <v>162</v>
      </c>
      <c r="B61" s="16" t="s">
        <v>135</v>
      </c>
      <c r="C61" s="16" t="s">
        <v>163</v>
      </c>
      <c r="D61" s="16" t="s">
        <v>20</v>
      </c>
      <c r="E61" s="7" t="n">
        <v>19</v>
      </c>
      <c r="F61" s="6" t="n">
        <v>98.26</v>
      </c>
      <c r="G61" s="17" t="n">
        <v>1000</v>
      </c>
      <c r="H61" s="6" t="n">
        <v>2.83</v>
      </c>
      <c r="I61" s="16" t="s">
        <v>164</v>
      </c>
      <c r="J61" s="6" t="s">
        <f>=E61*((F61/100*G61)*Портфель!$Q$13 + H61*Портфель!$Q$13) </f>
      </c>
      <c r="K61" s="9" t="n">
        <v>0.1639</v>
      </c>
      <c r="L61" s="6" t="n">
        <v>933.72</v>
      </c>
      <c r="M61" s="17" t="n">
        <v>1.39</v>
      </c>
      <c r="N61" s="16"/>
      <c r="O61" s="16"/>
      <c r="P61" s="17"/>
      <c r="Q61" s="17"/>
    </row>
    <row collapsed="false" customFormat="false" customHeight="false" hidden="false" ht="12.1" outlineLevel="0" r="62">
      <c r="A62" s="16" t="s">
        <v>165</v>
      </c>
      <c r="B62" s="16" t="s">
        <v>135</v>
      </c>
      <c r="C62" s="16" t="s">
        <v>166</v>
      </c>
      <c r="D62" s="16" t="s">
        <v>20</v>
      </c>
      <c r="E62" s="7" t="n">
        <v>20</v>
      </c>
      <c r="F62" s="6" t="n">
        <v>89</v>
      </c>
      <c r="G62" s="17" t="n">
        <v>1000</v>
      </c>
      <c r="H62" s="6" t="n">
        <v>28.53</v>
      </c>
      <c r="I62" s="16" t="s">
        <v>167</v>
      </c>
      <c r="J62" s="6" t="s">
        <f>=E62*((F62/100*G62)*Портфель!$Q$13 + H62*Портфель!$Q$13) </f>
      </c>
      <c r="K62" s="9" t="n">
        <v>0.2029</v>
      </c>
      <c r="L62" s="6" t="n">
        <v>849.42</v>
      </c>
      <c r="M62" s="17" t="n">
        <v>1.37</v>
      </c>
      <c r="N62" s="16"/>
      <c r="O62" s="16"/>
      <c r="P62" s="17"/>
      <c r="Q62" s="17"/>
    </row>
    <row collapsed="false" customFormat="false" customHeight="false" hidden="false" ht="12.1" outlineLevel="0" r="63">
      <c r="A63" s="16" t="s">
        <v>168</v>
      </c>
      <c r="B63" s="16" t="s">
        <v>135</v>
      </c>
      <c r="C63" s="16" t="s">
        <v>169</v>
      </c>
      <c r="D63" s="16" t="s">
        <v>20</v>
      </c>
      <c r="E63" s="7" t="n">
        <v>20</v>
      </c>
      <c r="F63" s="6" t="n">
        <v>88.931</v>
      </c>
      <c r="G63" s="17" t="n">
        <v>1000</v>
      </c>
      <c r="H63" s="6" t="n">
        <v>30.88</v>
      </c>
      <c r="I63" s="16" t="s">
        <v>170</v>
      </c>
      <c r="J63" s="6" t="s">
        <f>=E63*((F63/100*G63)*Портфель!$Q$13 + H63*Портфель!$Q$13) </f>
      </c>
      <c r="K63" s="9" t="n">
        <v>0.1995</v>
      </c>
      <c r="L63" s="6" t="n">
        <v>852.42</v>
      </c>
      <c r="M63" s="17" t="n">
        <v>1.37</v>
      </c>
      <c r="N63" s="16"/>
      <c r="O63" s="16"/>
      <c r="P63" s="17"/>
      <c r="Q63" s="17"/>
    </row>
    <row collapsed="false" customFormat="false" customHeight="false" hidden="false" ht="12.1" outlineLevel="0" r="64">
      <c r="A64" s="16" t="s">
        <v>171</v>
      </c>
      <c r="B64" s="16" t="s">
        <v>135</v>
      </c>
      <c r="C64" s="16" t="s">
        <v>172</v>
      </c>
      <c r="D64" s="16" t="s">
        <v>20</v>
      </c>
      <c r="E64" s="7" t="n">
        <v>20</v>
      </c>
      <c r="F64" s="6" t="n">
        <v>80.59</v>
      </c>
      <c r="G64" s="17" t="n">
        <v>1000</v>
      </c>
      <c r="H64" s="6" t="n">
        <v>14.89</v>
      </c>
      <c r="I64" s="16" t="s">
        <v>173</v>
      </c>
      <c r="J64" s="6" t="s">
        <f>=E64*((F64/100*G64)*Портфель!$Q$13 + H64*Портфель!$Q$13) </f>
      </c>
      <c r="K64" s="9" t="n">
        <v>0.1582</v>
      </c>
      <c r="L64" s="6" t="n">
        <v>727.29</v>
      </c>
      <c r="M64" s="17" t="n">
        <v>1.22</v>
      </c>
      <c r="N64" s="16"/>
      <c r="O64" s="16"/>
      <c r="P64" s="17"/>
      <c r="Q64" s="17"/>
    </row>
    <row collapsed="false" customFormat="false" customHeight="false" hidden="false" ht="12.1" outlineLevel="0" r="65">
      <c r="A65" s="16" t="s">
        <v>174</v>
      </c>
      <c r="B65" s="16" t="s">
        <v>135</v>
      </c>
      <c r="C65" s="16" t="s">
        <v>175</v>
      </c>
      <c r="D65" s="16" t="s">
        <v>20</v>
      </c>
      <c r="E65" s="7" t="n">
        <v>15</v>
      </c>
      <c r="F65" s="6" t="n">
        <v>96.947</v>
      </c>
      <c r="G65" s="17" t="n">
        <v>1000</v>
      </c>
      <c r="H65" s="6" t="n">
        <v>34.39</v>
      </c>
      <c r="I65" s="16" t="s">
        <v>176</v>
      </c>
      <c r="J65" s="6" t="s">
        <f>=E65*((F65/100*G65)*Портфель!$Q$13 + H65*Портфель!$Q$13) </f>
      </c>
      <c r="K65" s="9" t="n">
        <v>0.1041</v>
      </c>
      <c r="L65" s="6" t="n">
        <v>943.63</v>
      </c>
      <c r="M65" s="17" t="n">
        <v>1.12</v>
      </c>
      <c r="N65" s="16"/>
      <c r="O65" s="16"/>
      <c r="P65" s="17"/>
      <c r="Q65" s="17"/>
    </row>
    <row collapsed="false" customFormat="false" customHeight="false" hidden="false" ht="12.1" outlineLevel="0" r="66">
      <c r="A66" s="16" t="s">
        <v>177</v>
      </c>
      <c r="B66" s="16" t="s">
        <v>135</v>
      </c>
      <c r="C66" s="16" t="s">
        <v>178</v>
      </c>
      <c r="D66" s="16" t="s">
        <v>20</v>
      </c>
      <c r="E66" s="7" t="n">
        <v>17</v>
      </c>
      <c r="F66" s="6" t="n">
        <v>78.2</v>
      </c>
      <c r="G66" s="17" t="n">
        <v>1000</v>
      </c>
      <c r="H66" s="6" t="n">
        <v>0.75</v>
      </c>
      <c r="I66" s="16" t="s">
        <v>179</v>
      </c>
      <c r="J66" s="6" t="s">
        <f>=E66*((F66/100*G66)*Портфель!$Q$13 + H66*Портфель!$Q$13) </f>
      </c>
      <c r="K66" s="9" t="n">
        <v>-0.0223</v>
      </c>
      <c r="L66" s="6" t="n">
        <v>904.97</v>
      </c>
      <c r="M66" s="17" t="n">
        <v>0.99</v>
      </c>
      <c r="N66" s="16"/>
      <c r="O66" s="16"/>
      <c r="P66" s="17"/>
      <c r="Q66" s="17"/>
    </row>
    <row collapsed="false" customFormat="false" customHeight="false" hidden="false" ht="12.1" outlineLevel="0" r="67">
      <c r="A67" s="16" t="s">
        <v>180</v>
      </c>
      <c r="B67" s="16" t="s">
        <v>135</v>
      </c>
      <c r="C67" s="16" t="s">
        <v>181</v>
      </c>
      <c r="D67" s="16" t="s">
        <v>20</v>
      </c>
      <c r="E67" s="7" t="n">
        <v>12</v>
      </c>
      <c r="F67" s="6" t="n">
        <v>77.2</v>
      </c>
      <c r="G67" s="17" t="n">
        <v>1000</v>
      </c>
      <c r="H67" s="6" t="n">
        <v>6.47</v>
      </c>
      <c r="I67" s="16" t="s">
        <v>182</v>
      </c>
      <c r="J67" s="6" t="s">
        <f>=E67*((F67/100*G67)*Портфель!$Q$13 + H67*Портфель!$Q$13) </f>
      </c>
      <c r="K67" s="9" t="n">
        <v>0.1323</v>
      </c>
      <c r="L67" s="6" t="n">
        <v>720.28</v>
      </c>
      <c r="M67" s="17" t="n">
        <v>0.69</v>
      </c>
      <c r="N67" s="16"/>
      <c r="O67" s="16"/>
      <c r="P67" s="17"/>
      <c r="Q67" s="17"/>
    </row>
    <row collapsed="false" customFormat="false" customHeight="false" hidden="false" ht="12.1" outlineLevel="0" r="68">
      <c r="A68" s="16" t="s">
        <v>183</v>
      </c>
      <c r="B68" s="16" t="s">
        <v>135</v>
      </c>
      <c r="C68" s="16" t="s">
        <v>184</v>
      </c>
      <c r="D68" s="16" t="s">
        <v>20</v>
      </c>
      <c r="E68" s="7" t="n">
        <v>9</v>
      </c>
      <c r="F68" s="6" t="n">
        <v>92.592</v>
      </c>
      <c r="G68" s="17" t="n">
        <v>1000</v>
      </c>
      <c r="H68" s="6" t="n">
        <v>45.23</v>
      </c>
      <c r="I68" s="16" t="s">
        <v>185</v>
      </c>
      <c r="J68" s="6" t="s">
        <f>=E68*((F68/100*G68)*Портфель!$Q$13 + H68*Портфель!$Q$13) </f>
      </c>
      <c r="K68" s="9" t="n">
        <v>0.0245</v>
      </c>
      <c r="L68" s="6" t="n">
        <v>947.95</v>
      </c>
      <c r="M68" s="17" t="n">
        <v>0.65</v>
      </c>
      <c r="N68" s="16"/>
      <c r="O68" s="16"/>
      <c r="P68" s="17"/>
      <c r="Q68" s="17"/>
    </row>
    <row collapsed="false" customFormat="false" customHeight="false" hidden="false" ht="12.1" outlineLevel="0" r="69">
      <c r="A69" s="16" t="s">
        <v>186</v>
      </c>
      <c r="B69" s="16" t="s">
        <v>135</v>
      </c>
      <c r="C69" s="16" t="s">
        <v>187</v>
      </c>
      <c r="D69" s="16" t="s">
        <v>20</v>
      </c>
      <c r="E69" s="7" t="n">
        <v>10</v>
      </c>
      <c r="F69" s="6" t="n">
        <v>85.621</v>
      </c>
      <c r="G69" s="17" t="n">
        <v>1000</v>
      </c>
      <c r="H69" s="6" t="n">
        <v>15.46</v>
      </c>
      <c r="I69" s="16" t="s">
        <v>188</v>
      </c>
      <c r="J69" s="6" t="s">
        <f>=E69*((F69/100*G69)*Портфель!$Q$13 + H69*Портфель!$Q$13) </f>
      </c>
      <c r="K69" s="9" t="n">
        <v>0.1832</v>
      </c>
      <c r="L69" s="6" t="n">
        <v>735.68</v>
      </c>
      <c r="M69" s="17" t="n">
        <v>0.65</v>
      </c>
      <c r="N69" s="16"/>
      <c r="O69" s="16"/>
      <c r="P69" s="17"/>
      <c r="Q69" s="17"/>
    </row>
    <row collapsed="false" customFormat="false" customHeight="false" hidden="false" ht="12.1" outlineLevel="0" r="70">
      <c r="A70" s="16" t="s">
        <v>189</v>
      </c>
      <c r="B70" s="16" t="s">
        <v>135</v>
      </c>
      <c r="C70" s="16" t="s">
        <v>190</v>
      </c>
      <c r="D70" s="16" t="s">
        <v>20</v>
      </c>
      <c r="E70" s="7" t="n">
        <v>5</v>
      </c>
      <c r="F70" s="6" t="n">
        <v>104.65</v>
      </c>
      <c r="G70" s="17" t="n">
        <v>1000</v>
      </c>
      <c r="H70" s="6" t="n">
        <v>2.63</v>
      </c>
      <c r="I70" s="16" t="s">
        <v>191</v>
      </c>
      <c r="J70" s="6" t="s">
        <f>=E70*((F70/100*G70)*Портфель!$Q$13 + H70*Портфель!$Q$13) </f>
      </c>
      <c r="K70" s="9" t="n">
        <v>0.0069</v>
      </c>
      <c r="L70" s="6" t="n">
        <v>1076.19</v>
      </c>
      <c r="M70" s="17" t="n">
        <v>0.39</v>
      </c>
      <c r="N70" s="16"/>
      <c r="O70" s="16"/>
      <c r="P70" s="17"/>
      <c r="Q70" s="17"/>
    </row>
    <row collapsed="false" customFormat="false" customHeight="false" hidden="false" ht="12.1" outlineLevel="0" r="71">
      <c r="A71" s="16" t="s">
        <v>192</v>
      </c>
      <c r="B71" s="16" t="s">
        <v>135</v>
      </c>
      <c r="C71" s="16" t="s">
        <v>193</v>
      </c>
      <c r="D71" s="16" t="s">
        <v>20</v>
      </c>
      <c r="E71" s="7" t="n">
        <v>5</v>
      </c>
      <c r="F71" s="6" t="n">
        <v>100.85</v>
      </c>
      <c r="G71" s="17" t="n">
        <v>1000</v>
      </c>
      <c r="H71" s="6" t="n">
        <v>4.6</v>
      </c>
      <c r="I71" s="16" t="s">
        <v>194</v>
      </c>
      <c r="J71" s="6" t="s">
        <f>=E71*((F71/100*G71)*Портфель!$Q$13 + H71*Портфель!$Q$13) </f>
      </c>
      <c r="K71" s="9" t="n">
        <v>0.151</v>
      </c>
      <c r="L71" s="6" t="n">
        <v>989.97</v>
      </c>
      <c r="M71" s="17" t="n">
        <v>0.38</v>
      </c>
      <c r="N71" s="16"/>
      <c r="O71" s="16"/>
      <c r="P71" s="17"/>
      <c r="Q71" s="17"/>
    </row>
    <row collapsed="false" customFormat="false" customHeight="false" hidden="false" ht="12.1" outlineLevel="0" r="72">
      <c r="A72" s="16" t="s">
        <v>195</v>
      </c>
      <c r="B72" s="16" t="s">
        <v>135</v>
      </c>
      <c r="C72" s="16" t="s">
        <v>196</v>
      </c>
      <c r="D72" s="16" t="s">
        <v>20</v>
      </c>
      <c r="E72" s="7" t="n">
        <v>5</v>
      </c>
      <c r="F72" s="6" t="n">
        <v>101.32</v>
      </c>
      <c r="G72" s="17" t="n">
        <v>1000</v>
      </c>
      <c r="H72" s="6" t="n">
        <v>19.23</v>
      </c>
      <c r="I72" s="16" t="s">
        <v>197</v>
      </c>
      <c r="J72" s="6" t="s">
        <f>=E72*((F72/100*G72)*Портфель!$Q$13 + H72*Портфель!$Q$13) </f>
      </c>
      <c r="K72" s="9" t="n">
        <v>0.3028</v>
      </c>
      <c r="L72" s="6" t="n">
        <v>926.35</v>
      </c>
      <c r="M72" s="17" t="n">
        <v>0.38</v>
      </c>
      <c r="N72" s="16"/>
      <c r="O72" s="16"/>
      <c r="P72" s="17"/>
      <c r="Q72" s="17"/>
    </row>
    <row collapsed="false" customFormat="false" customHeight="false" hidden="false" ht="12.1" outlineLevel="0" r="73">
      <c r="A73" s="16" t="s">
        <v>198</v>
      </c>
      <c r="B73" s="16" t="s">
        <v>135</v>
      </c>
      <c r="C73" s="16" t="s">
        <v>199</v>
      </c>
      <c r="D73" s="16" t="s">
        <v>20</v>
      </c>
      <c r="E73" s="7" t="n">
        <v>5</v>
      </c>
      <c r="F73" s="6" t="n">
        <v>101.44</v>
      </c>
      <c r="G73" s="17" t="n">
        <v>1000</v>
      </c>
      <c r="H73" s="6" t="n">
        <v>1.97</v>
      </c>
      <c r="I73" s="16" t="s">
        <v>200</v>
      </c>
      <c r="J73" s="6" t="s">
        <f>=E73*((F73/100*G73)*Портфель!$Q$13 + H73*Портфель!$Q$13) </f>
      </c>
      <c r="K73" s="9" t="n">
        <v>0.1893</v>
      </c>
      <c r="L73" s="6" t="n">
        <v>930.84</v>
      </c>
      <c r="M73" s="17" t="n">
        <v>0.38</v>
      </c>
      <c r="N73" s="16"/>
      <c r="O73" s="16"/>
      <c r="P73" s="17"/>
      <c r="Q73" s="17"/>
    </row>
    <row collapsed="false" customFormat="false" customHeight="false" hidden="false" ht="12.1" outlineLevel="0" r="74">
      <c r="A74" s="16" t="s">
        <v>201</v>
      </c>
      <c r="B74" s="16" t="s">
        <v>135</v>
      </c>
      <c r="C74" s="16" t="s">
        <v>202</v>
      </c>
      <c r="D74" s="16" t="s">
        <v>20</v>
      </c>
      <c r="E74" s="7" t="n">
        <v>5</v>
      </c>
      <c r="F74" s="6" t="n">
        <v>99.37</v>
      </c>
      <c r="G74" s="17" t="n">
        <v>1000</v>
      </c>
      <c r="H74" s="6" t="n">
        <v>15.14</v>
      </c>
      <c r="I74" s="16" t="s">
        <v>203</v>
      </c>
      <c r="J74" s="6" t="s">
        <f>=E74*((F74/100*G74)*Портфель!$Q$13 + H74*Портфель!$Q$13) </f>
      </c>
      <c r="K74" s="9" t="n">
        <v>0.0261</v>
      </c>
      <c r="L74" s="6" t="n">
        <v>1013.67</v>
      </c>
      <c r="M74" s="17" t="n">
        <v>0.37</v>
      </c>
      <c r="N74" s="16"/>
      <c r="O74" s="16"/>
      <c r="P74" s="17"/>
      <c r="Q74" s="17"/>
    </row>
    <row collapsed="false" customFormat="false" customHeight="false" hidden="false" ht="12.1" outlineLevel="0" r="75">
      <c r="A75" s="16" t="s">
        <v>204</v>
      </c>
      <c r="B75" s="16" t="s">
        <v>135</v>
      </c>
      <c r="C75" s="16" t="s">
        <v>205</v>
      </c>
      <c r="D75" s="16" t="s">
        <v>20</v>
      </c>
      <c r="E75" s="7" t="n">
        <v>5</v>
      </c>
      <c r="F75" s="6" t="n">
        <v>93.75</v>
      </c>
      <c r="G75" s="17" t="n">
        <v>1000</v>
      </c>
      <c r="H75" s="6" t="n">
        <v>26.51</v>
      </c>
      <c r="I75" s="16" t="s">
        <v>206</v>
      </c>
      <c r="J75" s="6" t="s">
        <f>=E75*((F75/100*G75)*Портфель!$Q$13 + H75*Портфель!$Q$13) </f>
      </c>
      <c r="K75" s="9" t="n">
        <v>0.2047</v>
      </c>
      <c r="L75" s="6" t="n">
        <v>841.18</v>
      </c>
      <c r="M75" s="17" t="n">
        <v>0.36</v>
      </c>
      <c r="N75" s="16"/>
      <c r="O75" s="16"/>
      <c r="P75" s="17"/>
      <c r="Q75" s="17"/>
    </row>
    <row collapsed="false" customFormat="false" customHeight="false" hidden="false" ht="12.1" outlineLevel="0" r="76">
      <c r="A76" s="16" t="s">
        <v>207</v>
      </c>
      <c r="B76" s="16" t="s">
        <v>135</v>
      </c>
      <c r="C76" s="16" t="s">
        <v>208</v>
      </c>
      <c r="D76" s="16" t="s">
        <v>20</v>
      </c>
      <c r="E76" s="7" t="n">
        <v>5</v>
      </c>
      <c r="F76" s="6" t="n">
        <v>89.66</v>
      </c>
      <c r="G76" s="17" t="n">
        <v>1000</v>
      </c>
      <c r="H76" s="6" t="n">
        <v>44.6</v>
      </c>
      <c r="I76" s="16" t="s">
        <v>209</v>
      </c>
      <c r="J76" s="6" t="s">
        <f>=E76*((F76/100*G76)*Портфель!$Q$13 + H76*Портфель!$Q$13) </f>
      </c>
      <c r="K76" s="9" t="n">
        <v>0.1115</v>
      </c>
      <c r="L76" s="6" t="n">
        <v>905</v>
      </c>
      <c r="M76" s="17" t="n">
        <v>0.35</v>
      </c>
      <c r="N76" s="16"/>
      <c r="O76" s="16"/>
      <c r="P76" s="17"/>
      <c r="Q76" s="17"/>
    </row>
    <row collapsed="false" customFormat="false" customHeight="false" hidden="false" ht="12.1" outlineLevel="0" r="77">
      <c r="A77" s="16" t="s">
        <v>210</v>
      </c>
      <c r="B77" s="16" t="s">
        <v>135</v>
      </c>
      <c r="C77" s="16" t="s">
        <v>211</v>
      </c>
      <c r="D77" s="16" t="s">
        <v>20</v>
      </c>
      <c r="E77" s="7" t="n">
        <v>4</v>
      </c>
      <c r="F77" s="6" t="n">
        <v>96</v>
      </c>
      <c r="G77" s="17" t="n">
        <v>1000</v>
      </c>
      <c r="H77" s="6" t="n">
        <v>18.1</v>
      </c>
      <c r="I77" s="16" t="s">
        <v>212</v>
      </c>
      <c r="J77" s="6" t="s">
        <f>=E77*((F77/100*G77)*Портфель!$Q$13 + H77*Портфель!$Q$13) </f>
      </c>
      <c r="K77" s="9" t="n">
        <v>0.1181</v>
      </c>
      <c r="L77" s="6" t="n">
        <v>956.94</v>
      </c>
      <c r="M77" s="17" t="n">
        <v>0.29</v>
      </c>
      <c r="N77" s="16"/>
      <c r="O77" s="16"/>
      <c r="P77" s="17"/>
      <c r="Q77" s="17"/>
    </row>
    <row collapsed="false" customFormat="false" customHeight="false" hidden="false" ht="12.1" outlineLevel="0" r="78">
      <c r="A78" s="16" t="s">
        <v>213</v>
      </c>
      <c r="B78" s="16" t="s">
        <v>135</v>
      </c>
      <c r="C78" s="16" t="s">
        <v>214</v>
      </c>
      <c r="D78" s="16" t="s">
        <v>20</v>
      </c>
      <c r="E78" s="7" t="n">
        <v>10</v>
      </c>
      <c r="F78" s="6" t="n">
        <v>98.83</v>
      </c>
      <c r="G78" s="17" t="n">
        <v>360</v>
      </c>
      <c r="H78" s="6" t="n">
        <v>3.63</v>
      </c>
      <c r="I78" s="16" t="s">
        <v>215</v>
      </c>
      <c r="J78" s="6" t="s">
        <f>=E78*((F78/100*G78)*Портфель!$Q$13 + H78*Портфель!$Q$13) </f>
      </c>
      <c r="K78" s="9" t="n">
        <v>0.1337</v>
      </c>
      <c r="L78" s="6" t="n">
        <v>1016.33</v>
      </c>
      <c r="M78" s="17" t="n">
        <v>0.27</v>
      </c>
      <c r="N78" s="16"/>
      <c r="O78" s="16"/>
      <c r="P78" s="17"/>
      <c r="Q78" s="17"/>
    </row>
    <row collapsed="false" customFormat="false" customHeight="false" hidden="false" ht="12.1" outlineLevel="0" r="79">
      <c r="A79" s="16" t="s">
        <v>216</v>
      </c>
      <c r="B79" s="16" t="s">
        <v>135</v>
      </c>
      <c r="C79" s="16" t="s">
        <v>217</v>
      </c>
      <c r="D79" s="16" t="s">
        <v>20</v>
      </c>
      <c r="E79" s="7" t="n">
        <v>3</v>
      </c>
      <c r="F79" s="6" t="n">
        <v>99.61</v>
      </c>
      <c r="G79" s="17" t="n">
        <v>1000</v>
      </c>
      <c r="H79" s="6" t="n">
        <v>24.53</v>
      </c>
      <c r="I79" s="16" t="s">
        <v>218</v>
      </c>
      <c r="J79" s="6" t="s">
        <f>=E79*((F79/100*G79)*Портфель!$Q$13 + H79*Портфель!$Q$13) </f>
      </c>
      <c r="K79" s="9" t="n">
        <v>0.1369</v>
      </c>
      <c r="L79" s="6" t="n">
        <v>934.57</v>
      </c>
      <c r="M79" s="17" t="n">
        <v>0.23</v>
      </c>
      <c r="N79" s="16"/>
      <c r="O79" s="16"/>
      <c r="P79" s="17"/>
      <c r="Q79" s="17"/>
    </row>
    <row collapsed="false" customFormat="false" customHeight="false" hidden="false" ht="12.1" outlineLevel="0" r="80">
      <c r="A80" s="16" t="s">
        <v>219</v>
      </c>
      <c r="B80" s="16" t="s">
        <v>135</v>
      </c>
      <c r="C80" s="16" t="s">
        <v>220</v>
      </c>
      <c r="D80" s="16" t="s">
        <v>20</v>
      </c>
      <c r="E80" s="7" t="n">
        <v>5</v>
      </c>
      <c r="F80" s="6" t="n">
        <v>87.52</v>
      </c>
      <c r="G80" s="17" t="n">
        <v>600</v>
      </c>
      <c r="H80" s="6" t="n">
        <v>3.68</v>
      </c>
      <c r="I80" s="16" t="s">
        <v>221</v>
      </c>
      <c r="J80" s="6" t="s">
        <f>=E80*((F80/100*G80)*Портфель!$Q$13 + H80*Портфель!$Q$13) </f>
      </c>
      <c r="K80" s="9" t="n">
        <v>0.1331</v>
      </c>
      <c r="L80" s="6" t="n">
        <v>974.57</v>
      </c>
      <c r="M80" s="17" t="n">
        <v>0.2</v>
      </c>
      <c r="N80" s="16"/>
      <c r="O80" s="16"/>
      <c r="P80" s="17"/>
      <c r="Q80" s="17"/>
    </row>
    <row collapsed="false" customFormat="false" customHeight="false" hidden="false" ht="12.1" outlineLevel="0" r="81">
      <c r="A81" s="16" t="s">
        <v>222</v>
      </c>
      <c r="B81" s="16" t="s">
        <v>135</v>
      </c>
      <c r="C81" s="16" t="s">
        <v>223</v>
      </c>
      <c r="D81" s="16" t="s">
        <v>20</v>
      </c>
      <c r="E81" s="7" t="n">
        <v>2</v>
      </c>
      <c r="F81" s="6" t="n">
        <v>99.04</v>
      </c>
      <c r="G81" s="17" t="n">
        <v>1000</v>
      </c>
      <c r="H81" s="6" t="n">
        <v>4.74</v>
      </c>
      <c r="I81" s="16" t="s">
        <v>224</v>
      </c>
      <c r="J81" s="6" t="s">
        <f>=E81*((F81/100*G81)*Портфель!$Q$13 + H81*Портфель!$Q$13) </f>
      </c>
      <c r="K81" s="9" t="n">
        <v>0.1157</v>
      </c>
      <c r="L81" s="6" t="n">
        <v>1047.21</v>
      </c>
      <c r="M81" s="17" t="n">
        <v>0.15</v>
      </c>
      <c r="N81" s="16"/>
      <c r="O81" s="16"/>
      <c r="P81" s="17"/>
      <c r="Q81" s="17"/>
    </row>
    <row collapsed="false" customFormat="false" customHeight="false" hidden="false" ht="12.1" outlineLevel="0" r="82">
      <c r="A82" s="16" t="s">
        <v>225</v>
      </c>
      <c r="B82" s="16" t="s">
        <v>135</v>
      </c>
      <c r="C82" s="16" t="s">
        <v>226</v>
      </c>
      <c r="D82" s="16" t="s">
        <v>20</v>
      </c>
      <c r="E82" s="7" t="n">
        <v>2</v>
      </c>
      <c r="F82" s="6" t="n">
        <v>85.5</v>
      </c>
      <c r="G82" s="17" t="n">
        <v>1000</v>
      </c>
      <c r="H82" s="6" t="n">
        <v>42.27</v>
      </c>
      <c r="I82" s="16" t="s">
        <v>227</v>
      </c>
      <c r="J82" s="6" t="s">
        <f>=E82*((F82/100*G82)*Портфель!$Q$13 + H82*Портфель!$Q$13) </f>
      </c>
      <c r="K82" s="9" t="n">
        <v>0.0848</v>
      </c>
      <c r="L82" s="6" t="n">
        <v>992.89</v>
      </c>
      <c r="M82" s="17" t="n">
        <v>0.13</v>
      </c>
      <c r="N82" s="16"/>
      <c r="O82" s="16"/>
      <c r="P82" s="17"/>
      <c r="Q82" s="17"/>
    </row>
    <row collapsed="false" customFormat="false" customHeight="false" hidden="false" ht="12.1" outlineLevel="0" r="83">
      <c r="A83" s="16" t="s">
        <v>228</v>
      </c>
      <c r="B83" s="16" t="s">
        <v>135</v>
      </c>
      <c r="C83" s="16" t="s">
        <v>229</v>
      </c>
      <c r="D83" s="16" t="s">
        <v>20</v>
      </c>
      <c r="E83" s="7" t="n">
        <v>7</v>
      </c>
      <c r="F83" s="6" t="n">
        <v>96.89</v>
      </c>
      <c r="G83" s="17" t="n">
        <v>211.35</v>
      </c>
      <c r="H83" s="6" t="n">
        <v>1.16</v>
      </c>
      <c r="I83" s="16" t="s">
        <v>230</v>
      </c>
      <c r="J83" s="6" t="s">
        <f>=E83*((F83/100*G83)*Портфель!$Q$13 + H83*Портфель!$Q$13) </f>
      </c>
      <c r="K83" s="9" t="n">
        <v>0.1718</v>
      </c>
      <c r="L83" s="6" t="n">
        <v>892.37</v>
      </c>
      <c r="M83" s="17" t="n">
        <v>0.11</v>
      </c>
      <c r="N83" s="16"/>
      <c r="O83" s="16"/>
      <c r="P83" s="17"/>
      <c r="Q83" s="17"/>
    </row>
    <row collapsed="false" customFormat="false" customHeight="false" hidden="false" ht="12.1" outlineLevel="0" r="84">
      <c r="A84" s="16" t="s">
        <v>231</v>
      </c>
      <c r="B84" s="16" t="s">
        <v>135</v>
      </c>
      <c r="C84" s="16" t="s">
        <v>232</v>
      </c>
      <c r="D84" s="16" t="s">
        <v>20</v>
      </c>
      <c r="E84" s="7" t="n">
        <v>1</v>
      </c>
      <c r="F84" s="6" t="n">
        <v>101.42</v>
      </c>
      <c r="G84" s="17" t="n">
        <v>1000</v>
      </c>
      <c r="H84" s="6" t="n">
        <v>35.95</v>
      </c>
      <c r="I84" s="16" t="s">
        <v>233</v>
      </c>
      <c r="J84" s="6" t="s">
        <f>=E84*((F84/100*G84)*Портфель!$Q$13 + H84*Портфель!$Q$13) </f>
      </c>
      <c r="K84" s="9" t="n">
        <v>0.1373</v>
      </c>
      <c r="L84" s="6" t="n">
        <v>937.71</v>
      </c>
      <c r="M84" s="17" t="n">
        <v>0.08</v>
      </c>
      <c r="N84" s="16"/>
      <c r="O84" s="16"/>
      <c r="P84" s="17"/>
      <c r="Q84" s="17"/>
    </row>
    <row collapsed="false" customFormat="false" customHeight="false" hidden="false" ht="12.1" outlineLevel="0" r="85">
      <c r="A85" s="16" t="s">
        <v>234</v>
      </c>
      <c r="B85" s="16" t="s">
        <v>135</v>
      </c>
      <c r="C85" s="16" t="s">
        <v>235</v>
      </c>
      <c r="D85" s="16" t="s">
        <v>20</v>
      </c>
      <c r="E85" s="7" t="n">
        <v>1</v>
      </c>
      <c r="F85" s="6" t="n">
        <v>96.92</v>
      </c>
      <c r="G85" s="17" t="n">
        <v>552.59</v>
      </c>
      <c r="H85" s="6" t="n">
        <v>21.26</v>
      </c>
      <c r="I85" s="16" t="s">
        <v>236</v>
      </c>
      <c r="J85" s="6" t="s">
        <f>=E85*((F85/100*G85)*Портфель!$Q$13 + H85*Портфель!$Q$13) </f>
      </c>
      <c r="K85" s="9" t="n">
        <v>0.153</v>
      </c>
      <c r="L85" s="6" t="n">
        <v>724.33</v>
      </c>
      <c r="M85" s="17" t="n">
        <v>0.04</v>
      </c>
      <c r="N85" s="16"/>
      <c r="O85" s="16"/>
      <c r="P85" s="17"/>
      <c r="Q85" s="17"/>
    </row>
    <row collapsed="false" customFormat="false" customHeight="false" hidden="false" ht="12.1" outlineLevel="0" r="86">
      <c r="A86" s="16" t="s">
        <v>237</v>
      </c>
      <c r="B86" s="16" t="s">
        <v>135</v>
      </c>
      <c r="C86" s="16" t="s">
        <v>238</v>
      </c>
      <c r="D86" s="16" t="s">
        <v>20</v>
      </c>
      <c r="E86" s="7" t="n">
        <v>10</v>
      </c>
      <c r="F86" s="6" t="n">
        <v>99.77</v>
      </c>
      <c r="G86" s="17" t="n">
        <v>54.49</v>
      </c>
      <c r="H86" s="6" t="n">
        <v>0.39</v>
      </c>
      <c r="I86" s="16" t="s">
        <v>239</v>
      </c>
      <c r="J86" s="6" t="s">
        <f>=E86*((F86/100*G86)*Портфель!$Q$13 + H86*Портфель!$Q$13) </f>
      </c>
      <c r="K86" s="9" t="n">
        <v>0.2392</v>
      </c>
      <c r="L86" s="6" t="n">
        <v>604.04</v>
      </c>
      <c r="M86" s="17" t="n">
        <v>0.04</v>
      </c>
      <c r="N86" s="16"/>
      <c r="O86" s="16"/>
      <c r="P86" s="17"/>
      <c r="Q86" s="17"/>
    </row>
    <row collapsed="false" customFormat="false" customHeight="false" hidden="false" ht="12.1" outlineLevel="0" r="87">
      <c r="A87" s="16" t="s">
        <v>240</v>
      </c>
      <c r="B87" s="16" t="s">
        <v>135</v>
      </c>
      <c r="C87" s="16" t="s">
        <v>241</v>
      </c>
      <c r="D87" s="16" t="s">
        <v>20</v>
      </c>
      <c r="E87" s="7" t="n">
        <v>-2</v>
      </c>
      <c r="F87" s="6" t="n">
        <v>6.01</v>
      </c>
      <c r="G87" s="17" t="n">
        <v>1000</v>
      </c>
      <c r="H87" s="6" t="n">
        <v>0</v>
      </c>
      <c r="I87" s="16" t="s">
        <v>242</v>
      </c>
      <c r="J87" s="6" t="s">
        <f>=E87*((F87/100*G87)*Портфель!$Q$13 + H87*Портфель!$Q$13) </f>
      </c>
      <c r="K87" s="9" t="n">
        <v>-0.3236</v>
      </c>
      <c r="L87" s="6" t="n">
        <v>0</v>
      </c>
      <c r="M87" s="17" t="n">
        <v>-0</v>
      </c>
      <c r="N87" s="16"/>
      <c r="O87" s="16"/>
      <c r="P87" s="17"/>
      <c r="Q87" s="17"/>
    </row>
    <row collapsed="false" customFormat="false" customHeight="false" hidden="false" ht="12.1" outlineLevel="0" r="88">
      <c r="A88" s="16"/>
      <c r="B88" s="16"/>
      <c r="C88" s="16"/>
      <c r="D88" s="16"/>
      <c r="E88" s="7"/>
      <c r="F88" s="6"/>
      <c r="G88" s="4"/>
      <c r="H88" s="4" t="s">
        <v>243</v>
      </c>
      <c r="I88" s="4"/>
      <c r="J88" s="5" t="s">
        <f>=SUM(J52:J87)</f>
      </c>
      <c r="K88" s="4"/>
      <c r="L88" s="4"/>
      <c r="M88" s="10" t="s">
        <f>=J88/J91</f>
      </c>
      <c r="N88" s="16"/>
      <c r="O88" s="16"/>
      <c r="P88" s="17"/>
      <c r="Q88" s="17"/>
    </row>
    <row collapsed="false" customFormat="false" customHeight="false" hidden="false" ht="12.1" outlineLevel="0" r="89">
      <c r="A89" s="16" t="s">
        <v>20</v>
      </c>
      <c r="B89" s="16" t="s">
        <v>3</v>
      </c>
      <c r="C89" s="16" t="s">
        <v>244</v>
      </c>
      <c r="D89" s="16" t="s">
        <v>20</v>
      </c>
      <c r="E89" s="7" t="n">
        <v>-2864.5</v>
      </c>
      <c r="F89" s="6" t="n">
        <v>1</v>
      </c>
      <c r="G89" s="17" t="n">
        <v>0</v>
      </c>
      <c r="H89" s="6" t="n">
        <v>0</v>
      </c>
      <c r="I89" s="16"/>
      <c r="J89" s="6" t="s">
        <f>=E89*F89</f>
      </c>
      <c r="K89" s="17"/>
      <c r="L89" s="6"/>
      <c r="M89" s="17"/>
      <c r="N89" s="16"/>
      <c r="O89" s="16"/>
      <c r="P89" s="17"/>
      <c r="Q89" s="17"/>
    </row>
    <row collapsed="false" customFormat="false" customHeight="false" hidden="false" ht="12.1" outlineLevel="0" r="90">
      <c r="A90" s="16"/>
      <c r="B90" s="16"/>
      <c r="C90" s="16"/>
      <c r="D90" s="16"/>
      <c r="E90" s="7"/>
      <c r="F90" s="6"/>
      <c r="G90" s="4"/>
      <c r="H90" s="4" t="s">
        <v>245</v>
      </c>
      <c r="I90" s="4"/>
      <c r="J90" s="5" t="s">
        <f>=SUM(J89:J89)</f>
      </c>
      <c r="K90" s="4"/>
      <c r="L90" s="4"/>
      <c r="M90" s="10" t="s">
        <f>=J90/J91</f>
      </c>
      <c r="N90" s="16"/>
      <c r="O90" s="16"/>
      <c r="P90" s="17"/>
      <c r="Q90" s="17"/>
    </row>
    <row collapsed="false" customFormat="false" customHeight="false" hidden="false" ht="12.1" outlineLevel="0" r="91">
      <c r="A91" s="16"/>
      <c r="B91" s="16"/>
      <c r="C91" s="16"/>
      <c r="D91" s="16"/>
      <c r="E91" s="7"/>
      <c r="F91" s="6"/>
      <c r="G91" s="4"/>
      <c r="H91" s="4" t="s">
        <v>246</v>
      </c>
      <c r="I91" s="4"/>
      <c r="J91" s="5" t="s">
        <f>=J45+J51+J88+J90</f>
      </c>
      <c r="K91" s="17"/>
      <c r="L91" s="6"/>
      <c r="M91" s="17"/>
      <c r="N91" s="16"/>
      <c r="O91" s="16"/>
      <c r="P91" s="17"/>
      <c r="Q91" s="17"/>
    </row>
  </sheetData>
  <mergeCells>
    <mergeCell ref="H45:I45"/>
    <mergeCell ref="H51:I51"/>
    <mergeCell ref="H88:I88"/>
    <mergeCell ref="H90:I9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911</v>
      </c>
      <c r="D1" s="38" t="s">
        <v>912</v>
      </c>
      <c r="E1" s="38" t="s">
        <v>881</v>
      </c>
      <c r="F1" s="38" t="s">
        <v>913</v>
      </c>
      <c r="G1" s="38" t="s">
        <v>878</v>
      </c>
      <c r="H1" s="38" t="s">
        <v>914</v>
      </c>
      <c r="I1" s="38" t="s">
        <v>915</v>
      </c>
      <c r="J1" s="38" t="s">
        <v>916</v>
      </c>
      <c r="K1" s="38" t="s">
        <v>917</v>
      </c>
    </row>
    <row collapsed="false" customFormat="false" customHeight="false" hidden="false" ht="12.1" outlineLevel="0" r="2">
      <c r="A2" s="16" t="s">
        <v>68</v>
      </c>
      <c r="B2" s="16" t="s">
        <v>69</v>
      </c>
      <c r="C2" s="41" t="n">
        <v>44644</v>
      </c>
      <c r="D2" s="42" t="n">
        <v>44810</v>
      </c>
      <c r="E2" s="17" t="n">
        <v>11.514</v>
      </c>
      <c r="F2" s="17" t="n">
        <v>15.3997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1" t="n">
        <v>44645</v>
      </c>
      <c r="D3" s="42" t="n">
        <v>44813</v>
      </c>
      <c r="E3" s="17" t="n">
        <v>0.018</v>
      </c>
      <c r="F3" s="17" t="n">
        <v>0.0198</v>
      </c>
      <c r="G3" s="17" t="n">
        <v>10000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592</v>
      </c>
      <c r="B4" s="16" t="s">
        <v>918</v>
      </c>
      <c r="C4" s="41" t="n">
        <v>44648</v>
      </c>
      <c r="D4" s="42" t="n">
        <v>45880</v>
      </c>
      <c r="E4" s="17" t="n">
        <v>70.06</v>
      </c>
      <c r="F4" s="17" t="n">
        <v>129.2465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592</v>
      </c>
      <c r="B5" s="16" t="s">
        <v>918</v>
      </c>
      <c r="C5" s="41" t="n">
        <v>45852</v>
      </c>
      <c r="D5" s="42" t="n">
        <v>45880</v>
      </c>
      <c r="E5" s="17" t="n">
        <v>108.3542</v>
      </c>
      <c r="F5" s="17" t="n">
        <v>129.2465</v>
      </c>
      <c r="G5" s="17" t="n">
        <v>50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124</v>
      </c>
      <c r="B6" s="16" t="s">
        <v>125</v>
      </c>
      <c r="C6" s="41" t="n">
        <v>44651</v>
      </c>
      <c r="D6" s="42" t="n">
        <v>44805</v>
      </c>
      <c r="E6" s="17" t="n">
        <v>99.97</v>
      </c>
      <c r="F6" s="17" t="n">
        <v>94.99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124</v>
      </c>
      <c r="B7" s="16" t="s">
        <v>125</v>
      </c>
      <c r="C7" s="41" t="n">
        <v>44666</v>
      </c>
      <c r="D7" s="42" t="n">
        <v>44805</v>
      </c>
      <c r="E7" s="17" t="n">
        <v>95.47</v>
      </c>
      <c r="F7" s="17" t="n">
        <v>94.99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124</v>
      </c>
      <c r="B8" s="16" t="s">
        <v>125</v>
      </c>
      <c r="C8" s="41" t="n">
        <v>44715</v>
      </c>
      <c r="D8" s="42" t="n">
        <v>44805</v>
      </c>
      <c r="E8" s="17" t="n">
        <v>89.02</v>
      </c>
      <c r="F8" s="17" t="n">
        <v>94.99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124</v>
      </c>
      <c r="B9" s="16" t="s">
        <v>125</v>
      </c>
      <c r="C9" s="41" t="n">
        <v>44742</v>
      </c>
      <c r="D9" s="42" t="n">
        <v>44805</v>
      </c>
      <c r="E9" s="17" t="n">
        <v>87.82</v>
      </c>
      <c r="F9" s="17" t="n">
        <v>94.99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124</v>
      </c>
      <c r="B10" s="16" t="s">
        <v>125</v>
      </c>
      <c r="C10" s="41" t="n">
        <v>44830</v>
      </c>
      <c r="D10" s="42" t="n">
        <v>44838</v>
      </c>
      <c r="E10" s="17" t="n">
        <v>75.0575</v>
      </c>
      <c r="F10" s="17" t="n">
        <v>80.5925</v>
      </c>
      <c r="G10" s="17" t="n">
        <v>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593</v>
      </c>
      <c r="B11" s="16" t="s">
        <v>888</v>
      </c>
      <c r="C11" s="41" t="n">
        <v>44651</v>
      </c>
      <c r="D11" s="42" t="n">
        <v>45855</v>
      </c>
      <c r="E11" s="17" t="n">
        <v>138.783</v>
      </c>
      <c r="F11" s="17" t="n">
        <v>324.99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128</v>
      </c>
      <c r="B12" s="16" t="s">
        <v>129</v>
      </c>
      <c r="C12" s="41" t="n">
        <v>44655</v>
      </c>
      <c r="D12" s="42" t="n">
        <v>44658</v>
      </c>
      <c r="E12" s="17" t="n">
        <v>1.1262</v>
      </c>
      <c r="F12" s="17" t="n">
        <v>1.1286</v>
      </c>
      <c r="G12" s="17" t="n">
        <v>900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128</v>
      </c>
      <c r="B13" s="16" t="s">
        <v>129</v>
      </c>
      <c r="C13" s="41" t="n">
        <v>44655</v>
      </c>
      <c r="D13" s="42" t="n">
        <v>44659</v>
      </c>
      <c r="E13" s="17" t="n">
        <v>1.1262</v>
      </c>
      <c r="F13" s="17" t="n">
        <v>1.129</v>
      </c>
      <c r="G13" s="17" t="n">
        <v>700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128</v>
      </c>
      <c r="B14" s="16" t="s">
        <v>129</v>
      </c>
      <c r="C14" s="41" t="n">
        <v>44662</v>
      </c>
      <c r="D14" s="42" t="n">
        <v>44663</v>
      </c>
      <c r="E14" s="17" t="n">
        <v>1.13</v>
      </c>
      <c r="F14" s="17" t="n">
        <v>1.1306</v>
      </c>
      <c r="G14" s="17" t="n">
        <v>70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128</v>
      </c>
      <c r="B15" s="16" t="s">
        <v>129</v>
      </c>
      <c r="C15" s="41" t="n">
        <v>44662</v>
      </c>
      <c r="D15" s="42" t="n">
        <v>44694</v>
      </c>
      <c r="E15" s="17" t="n">
        <v>1.13</v>
      </c>
      <c r="F15" s="17" t="n">
        <v>1.1456</v>
      </c>
      <c r="G15" s="17" t="n">
        <v>310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128</v>
      </c>
      <c r="B16" s="16" t="s">
        <v>129</v>
      </c>
      <c r="C16" s="41" t="n">
        <v>44687</v>
      </c>
      <c r="D16" s="42" t="n">
        <v>44694</v>
      </c>
      <c r="E16" s="17" t="n">
        <v>1.1439</v>
      </c>
      <c r="F16" s="17" t="n">
        <v>1.1456</v>
      </c>
      <c r="G16" s="17" t="n">
        <v>1300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128</v>
      </c>
      <c r="B17" s="16" t="s">
        <v>129</v>
      </c>
      <c r="C17" s="41" t="n">
        <v>44697</v>
      </c>
      <c r="D17" s="42" t="n">
        <v>44700</v>
      </c>
      <c r="E17" s="17" t="n">
        <v>1.1463</v>
      </c>
      <c r="F17" s="17" t="n">
        <v>1.1484</v>
      </c>
      <c r="G17" s="17" t="n">
        <v>3200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128</v>
      </c>
      <c r="B18" s="16" t="s">
        <v>129</v>
      </c>
      <c r="C18" s="41" t="n">
        <v>44697</v>
      </c>
      <c r="D18" s="42" t="n">
        <v>44705</v>
      </c>
      <c r="E18" s="17" t="n">
        <v>1.1463</v>
      </c>
      <c r="F18" s="17" t="n">
        <v>1.1495</v>
      </c>
      <c r="G18" s="17" t="n">
        <v>1800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128</v>
      </c>
      <c r="B19" s="16" t="s">
        <v>129</v>
      </c>
      <c r="C19" s="41" t="n">
        <v>44697</v>
      </c>
      <c r="D19" s="42" t="n">
        <v>44712</v>
      </c>
      <c r="E19" s="17" t="n">
        <v>1.1463</v>
      </c>
      <c r="F19" s="17" t="n">
        <v>1.152</v>
      </c>
      <c r="G19" s="17" t="n">
        <v>300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128</v>
      </c>
      <c r="B20" s="16" t="s">
        <v>129</v>
      </c>
      <c r="C20" s="41" t="n">
        <v>44707</v>
      </c>
      <c r="D20" s="42" t="n">
        <v>44712</v>
      </c>
      <c r="E20" s="17" t="n">
        <v>1.1512</v>
      </c>
      <c r="F20" s="17" t="n">
        <v>1.152</v>
      </c>
      <c r="G20" s="17" t="n">
        <v>500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128</v>
      </c>
      <c r="B21" s="16" t="s">
        <v>129</v>
      </c>
      <c r="C21" s="41" t="n">
        <v>44707</v>
      </c>
      <c r="D21" s="42" t="n">
        <v>44713</v>
      </c>
      <c r="E21" s="17" t="n">
        <v>1.1512</v>
      </c>
      <c r="F21" s="17" t="n">
        <v>1.1523</v>
      </c>
      <c r="G21" s="17" t="n">
        <v>100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128</v>
      </c>
      <c r="B22" s="16" t="s">
        <v>129</v>
      </c>
      <c r="C22" s="41" t="n">
        <v>44707</v>
      </c>
      <c r="D22" s="42" t="n">
        <v>44714</v>
      </c>
      <c r="E22" s="17" t="n">
        <v>1.1512</v>
      </c>
      <c r="F22" s="17" t="n">
        <v>1.1533</v>
      </c>
      <c r="G22" s="17" t="n">
        <v>950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128</v>
      </c>
      <c r="B23" s="16" t="s">
        <v>129</v>
      </c>
      <c r="C23" s="41" t="n">
        <v>44707</v>
      </c>
      <c r="D23" s="42" t="n">
        <v>44727</v>
      </c>
      <c r="E23" s="17" t="n">
        <v>1.1512</v>
      </c>
      <c r="F23" s="17" t="n">
        <v>1.1567</v>
      </c>
      <c r="G23" s="17" t="n">
        <v>200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128</v>
      </c>
      <c r="B24" s="16" t="s">
        <v>129</v>
      </c>
      <c r="C24" s="41" t="n">
        <v>44726</v>
      </c>
      <c r="D24" s="42" t="n">
        <v>44727</v>
      </c>
      <c r="E24" s="17" t="n">
        <v>1.1565</v>
      </c>
      <c r="F24" s="17" t="n">
        <v>1.1567</v>
      </c>
      <c r="G24" s="17" t="n">
        <v>400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128</v>
      </c>
      <c r="B25" s="16" t="s">
        <v>129</v>
      </c>
      <c r="C25" s="41" t="n">
        <v>44726</v>
      </c>
      <c r="D25" s="42" t="n">
        <v>44734</v>
      </c>
      <c r="E25" s="17" t="n">
        <v>1.1565</v>
      </c>
      <c r="F25" s="17" t="n">
        <v>1.1588</v>
      </c>
      <c r="G25" s="17" t="n">
        <v>390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128</v>
      </c>
      <c r="B26" s="16" t="s">
        <v>129</v>
      </c>
      <c r="C26" s="41" t="n">
        <v>44726</v>
      </c>
      <c r="D26" s="42" t="n">
        <v>44740</v>
      </c>
      <c r="E26" s="17" t="n">
        <v>1.1565</v>
      </c>
      <c r="F26" s="17" t="n">
        <v>1.1601</v>
      </c>
      <c r="G26" s="17" t="n">
        <v>530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128</v>
      </c>
      <c r="B27" s="16" t="s">
        <v>129</v>
      </c>
      <c r="C27" s="41" t="n">
        <v>44727</v>
      </c>
      <c r="D27" s="42" t="n">
        <v>44740</v>
      </c>
      <c r="E27" s="17" t="n">
        <v>1.157</v>
      </c>
      <c r="F27" s="17" t="n">
        <v>1.1601</v>
      </c>
      <c r="G27" s="17" t="n">
        <v>20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128</v>
      </c>
      <c r="B28" s="16" t="s">
        <v>129</v>
      </c>
      <c r="C28" s="41" t="n">
        <v>44739</v>
      </c>
      <c r="D28" s="42" t="n">
        <v>44740</v>
      </c>
      <c r="E28" s="17" t="n">
        <v>1.16</v>
      </c>
      <c r="F28" s="17" t="n">
        <v>1.1601</v>
      </c>
      <c r="G28" s="17" t="n">
        <v>100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128</v>
      </c>
      <c r="B29" s="16" t="s">
        <v>129</v>
      </c>
      <c r="C29" s="41" t="n">
        <v>44739</v>
      </c>
      <c r="D29" s="42" t="n">
        <v>44742</v>
      </c>
      <c r="E29" s="17" t="n">
        <v>1.16</v>
      </c>
      <c r="F29" s="17" t="n">
        <v>1.1613</v>
      </c>
      <c r="G29" s="17" t="n">
        <v>50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128</v>
      </c>
      <c r="B30" s="16" t="s">
        <v>129</v>
      </c>
      <c r="C30" s="41" t="n">
        <v>44740</v>
      </c>
      <c r="D30" s="42" t="n">
        <v>44742</v>
      </c>
      <c r="E30" s="17" t="n">
        <v>1.1603</v>
      </c>
      <c r="F30" s="17" t="n">
        <v>1.1613</v>
      </c>
      <c r="G30" s="17" t="n">
        <v>35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128</v>
      </c>
      <c r="B31" s="16" t="s">
        <v>129</v>
      </c>
      <c r="C31" s="41" t="n">
        <v>44749</v>
      </c>
      <c r="D31" s="42" t="n">
        <v>44761</v>
      </c>
      <c r="E31" s="17" t="n">
        <v>1.1635</v>
      </c>
      <c r="F31" s="17" t="n">
        <v>1.166</v>
      </c>
      <c r="G31" s="17" t="n">
        <v>350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128</v>
      </c>
      <c r="B32" s="16" t="s">
        <v>129</v>
      </c>
      <c r="C32" s="41" t="n">
        <v>44756</v>
      </c>
      <c r="D32" s="42" t="n">
        <v>44761</v>
      </c>
      <c r="E32" s="17" t="n">
        <v>1.1654</v>
      </c>
      <c r="F32" s="17" t="n">
        <v>1.166</v>
      </c>
      <c r="G32" s="17" t="n">
        <v>295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128</v>
      </c>
      <c r="B33" s="16" t="s">
        <v>129</v>
      </c>
      <c r="C33" s="41" t="n">
        <v>44756</v>
      </c>
      <c r="D33" s="42" t="n">
        <v>44763</v>
      </c>
      <c r="E33" s="17" t="n">
        <v>1.1654</v>
      </c>
      <c r="F33" s="17" t="n">
        <v>1.1671</v>
      </c>
      <c r="G33" s="17" t="n">
        <v>285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128</v>
      </c>
      <c r="B34" s="16" t="s">
        <v>129</v>
      </c>
      <c r="C34" s="41" t="n">
        <v>44757</v>
      </c>
      <c r="D34" s="42" t="n">
        <v>44763</v>
      </c>
      <c r="E34" s="17" t="n">
        <v>1.1655</v>
      </c>
      <c r="F34" s="17" t="n">
        <v>1.1671</v>
      </c>
      <c r="G34" s="17" t="n">
        <v>255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128</v>
      </c>
      <c r="B35" s="16" t="s">
        <v>129</v>
      </c>
      <c r="C35" s="41" t="n">
        <v>44757</v>
      </c>
      <c r="D35" s="42" t="n">
        <v>44767</v>
      </c>
      <c r="E35" s="17" t="n">
        <v>1.1655</v>
      </c>
      <c r="F35" s="17" t="n">
        <v>1.1676</v>
      </c>
      <c r="G35" s="17" t="n">
        <v>180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128</v>
      </c>
      <c r="B36" s="16" t="s">
        <v>129</v>
      </c>
      <c r="C36" s="41" t="n">
        <v>44757</v>
      </c>
      <c r="D36" s="42" t="n">
        <v>44771</v>
      </c>
      <c r="E36" s="17" t="n">
        <v>1.1655</v>
      </c>
      <c r="F36" s="17" t="n">
        <v>1.169</v>
      </c>
      <c r="G36" s="17" t="n">
        <v>320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128</v>
      </c>
      <c r="B37" s="16" t="s">
        <v>129</v>
      </c>
      <c r="C37" s="41" t="n">
        <v>44757</v>
      </c>
      <c r="D37" s="42" t="n">
        <v>44774</v>
      </c>
      <c r="E37" s="17" t="n">
        <v>1.1655</v>
      </c>
      <c r="F37" s="17" t="n">
        <v>1.1695</v>
      </c>
      <c r="G37" s="17" t="n">
        <v>95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128</v>
      </c>
      <c r="B38" s="16" t="s">
        <v>129</v>
      </c>
      <c r="C38" s="41" t="n">
        <v>44763</v>
      </c>
      <c r="D38" s="42" t="n">
        <v>44774</v>
      </c>
      <c r="E38" s="17" t="n">
        <v>1.1673</v>
      </c>
      <c r="F38" s="17" t="n">
        <v>1.1695</v>
      </c>
      <c r="G38" s="17" t="n">
        <v>30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128</v>
      </c>
      <c r="B39" s="16" t="s">
        <v>129</v>
      </c>
      <c r="C39" s="41" t="n">
        <v>44767</v>
      </c>
      <c r="D39" s="42" t="n">
        <v>44774</v>
      </c>
      <c r="E39" s="17" t="n">
        <v>1.1677</v>
      </c>
      <c r="F39" s="17" t="n">
        <v>1.1695</v>
      </c>
      <c r="G39" s="17" t="n">
        <v>155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128</v>
      </c>
      <c r="B40" s="16" t="s">
        <v>129</v>
      </c>
      <c r="C40" s="41" t="n">
        <v>44767</v>
      </c>
      <c r="D40" s="42" t="n">
        <v>44776</v>
      </c>
      <c r="E40" s="17" t="n">
        <v>1.1677</v>
      </c>
      <c r="F40" s="17" t="n">
        <v>1.17</v>
      </c>
      <c r="G40" s="17" t="n">
        <v>35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128</v>
      </c>
      <c r="B41" s="16" t="s">
        <v>129</v>
      </c>
      <c r="C41" s="41" t="n">
        <v>44768</v>
      </c>
      <c r="D41" s="42" t="n">
        <v>44776</v>
      </c>
      <c r="E41" s="17" t="n">
        <v>1.1678</v>
      </c>
      <c r="F41" s="17" t="n">
        <v>1.17</v>
      </c>
      <c r="G41" s="17" t="n">
        <v>18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128</v>
      </c>
      <c r="B42" s="16" t="s">
        <v>129</v>
      </c>
      <c r="C42" s="41" t="n">
        <v>44771</v>
      </c>
      <c r="D42" s="42" t="n">
        <v>44776</v>
      </c>
      <c r="E42" s="17" t="n">
        <v>1.169</v>
      </c>
      <c r="F42" s="17" t="n">
        <v>1.17</v>
      </c>
      <c r="G42" s="17" t="n">
        <v>7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128</v>
      </c>
      <c r="B43" s="16" t="s">
        <v>129</v>
      </c>
      <c r="C43" s="41" t="n">
        <v>44771</v>
      </c>
      <c r="D43" s="42" t="n">
        <v>44791</v>
      </c>
      <c r="E43" s="17" t="n">
        <v>1.169</v>
      </c>
      <c r="F43" s="17" t="n">
        <v>1.174</v>
      </c>
      <c r="G43" s="17" t="n">
        <v>13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128</v>
      </c>
      <c r="B44" s="16" t="s">
        <v>129</v>
      </c>
      <c r="C44" s="41" t="n">
        <v>44777</v>
      </c>
      <c r="D44" s="42" t="n">
        <v>44791</v>
      </c>
      <c r="E44" s="17" t="n">
        <v>1.1707</v>
      </c>
      <c r="F44" s="17" t="n">
        <v>1.174</v>
      </c>
      <c r="G44" s="17" t="n">
        <v>94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128</v>
      </c>
      <c r="B45" s="16" t="s">
        <v>129</v>
      </c>
      <c r="C45" s="41" t="n">
        <v>44788</v>
      </c>
      <c r="D45" s="42" t="n">
        <v>44791</v>
      </c>
      <c r="E45" s="17" t="n">
        <v>1.1729</v>
      </c>
      <c r="F45" s="17" t="n">
        <v>1.174</v>
      </c>
      <c r="G45" s="17" t="n">
        <v>175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128</v>
      </c>
      <c r="B46" s="16" t="s">
        <v>129</v>
      </c>
      <c r="C46" s="41" t="n">
        <v>44789</v>
      </c>
      <c r="D46" s="42" t="n">
        <v>44791</v>
      </c>
      <c r="E46" s="17" t="n">
        <v>1.173</v>
      </c>
      <c r="F46" s="17" t="n">
        <v>1.174</v>
      </c>
      <c r="G46" s="17" t="n">
        <v>238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128</v>
      </c>
      <c r="B47" s="16" t="s">
        <v>129</v>
      </c>
      <c r="C47" s="41" t="n">
        <v>44789</v>
      </c>
      <c r="D47" s="42" t="n">
        <v>44792</v>
      </c>
      <c r="E47" s="17" t="n">
        <v>1.173</v>
      </c>
      <c r="F47" s="17" t="n">
        <v>1.1741</v>
      </c>
      <c r="G47" s="17" t="n">
        <v>747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128</v>
      </c>
      <c r="B48" s="16" t="s">
        <v>129</v>
      </c>
      <c r="C48" s="41" t="n">
        <v>44795</v>
      </c>
      <c r="D48" s="42" t="n">
        <v>44798</v>
      </c>
      <c r="E48" s="17" t="n">
        <v>1.1745</v>
      </c>
      <c r="F48" s="17" t="n">
        <v>1.1756</v>
      </c>
      <c r="G48" s="17" t="n">
        <v>50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128</v>
      </c>
      <c r="B49" s="16" t="s">
        <v>129</v>
      </c>
      <c r="C49" s="41" t="n">
        <v>44795</v>
      </c>
      <c r="D49" s="42" t="n">
        <v>44806</v>
      </c>
      <c r="E49" s="17" t="n">
        <v>1.1745</v>
      </c>
      <c r="F49" s="17" t="n">
        <v>1.1776</v>
      </c>
      <c r="G49" s="17" t="n">
        <v>10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128</v>
      </c>
      <c r="B50" s="16" t="s">
        <v>129</v>
      </c>
      <c r="C50" s="41" t="n">
        <v>44798</v>
      </c>
      <c r="D50" s="42" t="n">
        <v>44806</v>
      </c>
      <c r="E50" s="17" t="n">
        <v>1.1755</v>
      </c>
      <c r="F50" s="17" t="n">
        <v>1.1776</v>
      </c>
      <c r="G50" s="17" t="n">
        <v>40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128</v>
      </c>
      <c r="B51" s="16" t="s">
        <v>129</v>
      </c>
      <c r="C51" s="41" t="n">
        <v>44803</v>
      </c>
      <c r="D51" s="42" t="n">
        <v>44806</v>
      </c>
      <c r="E51" s="17" t="n">
        <v>1.1764</v>
      </c>
      <c r="F51" s="17" t="n">
        <v>1.1776</v>
      </c>
      <c r="G51" s="17" t="n">
        <v>140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128</v>
      </c>
      <c r="B52" s="16" t="s">
        <v>129</v>
      </c>
      <c r="C52" s="41" t="n">
        <v>44805</v>
      </c>
      <c r="D52" s="42" t="n">
        <v>44806</v>
      </c>
      <c r="E52" s="17" t="n">
        <v>1.1775</v>
      </c>
      <c r="F52" s="17" t="n">
        <v>1.1776</v>
      </c>
      <c r="G52" s="17" t="n">
        <v>335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128</v>
      </c>
      <c r="B53" s="16" t="s">
        <v>129</v>
      </c>
      <c r="C53" s="41" t="n">
        <v>44809</v>
      </c>
      <c r="D53" s="42" t="n">
        <v>44820</v>
      </c>
      <c r="E53" s="17" t="n">
        <v>1.1779</v>
      </c>
      <c r="F53" s="17" t="n">
        <v>1.1809</v>
      </c>
      <c r="G53" s="17" t="n">
        <v>400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128</v>
      </c>
      <c r="B54" s="16" t="s">
        <v>129</v>
      </c>
      <c r="C54" s="41" t="n">
        <v>44810</v>
      </c>
      <c r="D54" s="42" t="n">
        <v>44820</v>
      </c>
      <c r="E54" s="17" t="n">
        <v>1.1781</v>
      </c>
      <c r="F54" s="17" t="n">
        <v>1.1809</v>
      </c>
      <c r="G54" s="17" t="n">
        <v>30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128</v>
      </c>
      <c r="B55" s="16" t="s">
        <v>129</v>
      </c>
      <c r="C55" s="41" t="n">
        <v>44810</v>
      </c>
      <c r="D55" s="42" t="n">
        <v>44830</v>
      </c>
      <c r="E55" s="17" t="n">
        <v>1.1781</v>
      </c>
      <c r="F55" s="17" t="n">
        <v>1.1825</v>
      </c>
      <c r="G55" s="17" t="n">
        <v>40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128</v>
      </c>
      <c r="B56" s="16" t="s">
        <v>129</v>
      </c>
      <c r="C56" s="41" t="n">
        <v>44813</v>
      </c>
      <c r="D56" s="42" t="n">
        <v>44830</v>
      </c>
      <c r="E56" s="17" t="n">
        <v>1.1793</v>
      </c>
      <c r="F56" s="17" t="n">
        <v>1.1825</v>
      </c>
      <c r="G56" s="17" t="n">
        <v>178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128</v>
      </c>
      <c r="B57" s="16" t="s">
        <v>129</v>
      </c>
      <c r="C57" s="41" t="n">
        <v>44820</v>
      </c>
      <c r="D57" s="42" t="n">
        <v>44830</v>
      </c>
      <c r="E57" s="17" t="n">
        <v>1.181</v>
      </c>
      <c r="F57" s="17" t="n">
        <v>1.1825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128</v>
      </c>
      <c r="B58" s="16" t="s">
        <v>129</v>
      </c>
      <c r="C58" s="41" t="n">
        <v>44825</v>
      </c>
      <c r="D58" s="42" t="n">
        <v>44830</v>
      </c>
      <c r="E58" s="17" t="n">
        <v>1.1816</v>
      </c>
      <c r="F58" s="17" t="n">
        <v>1.1825</v>
      </c>
      <c r="G58" s="17" t="n">
        <v>25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128</v>
      </c>
      <c r="B59" s="16" t="s">
        <v>129</v>
      </c>
      <c r="C59" s="41" t="n">
        <v>44838</v>
      </c>
      <c r="D59" s="42" t="n">
        <v>44872</v>
      </c>
      <c r="E59" s="17" t="n">
        <v>1.1846</v>
      </c>
      <c r="F59" s="17" t="n">
        <v>1.1923</v>
      </c>
      <c r="G59" s="17" t="n">
        <v>278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128</v>
      </c>
      <c r="B60" s="16" t="s">
        <v>129</v>
      </c>
      <c r="C60" s="41" t="n">
        <v>44861</v>
      </c>
      <c r="D60" s="42" t="n">
        <v>44872</v>
      </c>
      <c r="E60" s="17" t="n">
        <v>1.1903</v>
      </c>
      <c r="F60" s="17" t="n">
        <v>1.1923</v>
      </c>
      <c r="G60" s="17" t="n">
        <v>112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128</v>
      </c>
      <c r="B61" s="16" t="s">
        <v>129</v>
      </c>
      <c r="C61" s="41" t="n">
        <v>44861</v>
      </c>
      <c r="D61" s="42" t="n">
        <v>44873</v>
      </c>
      <c r="E61" s="17" t="n">
        <v>1.1903</v>
      </c>
      <c r="F61" s="17" t="n">
        <v>1.1926</v>
      </c>
      <c r="G61" s="17" t="n">
        <v>50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128</v>
      </c>
      <c r="B62" s="16" t="s">
        <v>129</v>
      </c>
      <c r="C62" s="41" t="n">
        <v>44861</v>
      </c>
      <c r="D62" s="42" t="n">
        <v>44875</v>
      </c>
      <c r="E62" s="17" t="n">
        <v>1.1903</v>
      </c>
      <c r="F62" s="17" t="n">
        <v>1.1935</v>
      </c>
      <c r="G62" s="17" t="n">
        <v>213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128</v>
      </c>
      <c r="B63" s="16" t="s">
        <v>129</v>
      </c>
      <c r="C63" s="41" t="n">
        <v>44866</v>
      </c>
      <c r="D63" s="42" t="n">
        <v>44875</v>
      </c>
      <c r="E63" s="17" t="n">
        <v>1.1911</v>
      </c>
      <c r="F63" s="17" t="n">
        <v>1.1935</v>
      </c>
      <c r="G63" s="17" t="n">
        <v>112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128</v>
      </c>
      <c r="B64" s="16" t="s">
        <v>129</v>
      </c>
      <c r="C64" s="41" t="n">
        <v>44866</v>
      </c>
      <c r="D64" s="42" t="n">
        <v>44893</v>
      </c>
      <c r="E64" s="17" t="n">
        <v>1.1911</v>
      </c>
      <c r="F64" s="17" t="n">
        <v>1.197</v>
      </c>
      <c r="G64" s="17" t="n">
        <v>253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128</v>
      </c>
      <c r="B65" s="16" t="s">
        <v>129</v>
      </c>
      <c r="C65" s="41" t="n">
        <v>44868</v>
      </c>
      <c r="D65" s="42" t="n">
        <v>44893</v>
      </c>
      <c r="E65" s="17" t="n">
        <v>1.1925</v>
      </c>
      <c r="F65" s="17" t="n">
        <v>1.197</v>
      </c>
      <c r="G65" s="17" t="n">
        <v>20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128</v>
      </c>
      <c r="B66" s="16" t="s">
        <v>129</v>
      </c>
      <c r="C66" s="41" t="n">
        <v>44873</v>
      </c>
      <c r="D66" s="42" t="n">
        <v>44893</v>
      </c>
      <c r="E66" s="17" t="n">
        <v>1.1925</v>
      </c>
      <c r="F66" s="17" t="n">
        <v>1.197</v>
      </c>
      <c r="G66" s="17" t="n">
        <v>20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128</v>
      </c>
      <c r="B67" s="16" t="s">
        <v>129</v>
      </c>
      <c r="C67" s="41" t="n">
        <v>44923</v>
      </c>
      <c r="D67" s="42" t="n">
        <v>44931</v>
      </c>
      <c r="E67" s="17" t="n">
        <v>1.2039</v>
      </c>
      <c r="F67" s="17" t="n">
        <v>1.2065</v>
      </c>
      <c r="G67" s="17" t="n">
        <v>17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128</v>
      </c>
      <c r="B68" s="16" t="s">
        <v>129</v>
      </c>
      <c r="C68" s="41" t="n">
        <v>44923</v>
      </c>
      <c r="D68" s="42" t="n">
        <v>44937</v>
      </c>
      <c r="E68" s="17" t="n">
        <v>1.2039</v>
      </c>
      <c r="F68" s="17" t="n">
        <v>1.2073</v>
      </c>
      <c r="G68" s="17" t="n">
        <v>283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128</v>
      </c>
      <c r="B69" s="16" t="s">
        <v>129</v>
      </c>
      <c r="C69" s="41" t="n">
        <v>44924</v>
      </c>
      <c r="D69" s="42" t="n">
        <v>44937</v>
      </c>
      <c r="E69" s="17" t="n">
        <v>1.2049</v>
      </c>
      <c r="F69" s="17" t="n">
        <v>1.2073</v>
      </c>
      <c r="G69" s="17" t="n">
        <v>500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128</v>
      </c>
      <c r="B70" s="16" t="s">
        <v>129</v>
      </c>
      <c r="C70" s="41" t="n">
        <v>44930</v>
      </c>
      <c r="D70" s="42" t="n">
        <v>44937</v>
      </c>
      <c r="E70" s="17" t="n">
        <v>1.2058</v>
      </c>
      <c r="F70" s="17" t="n">
        <v>1.2073</v>
      </c>
      <c r="G70" s="17" t="n">
        <v>272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128</v>
      </c>
      <c r="B71" s="16" t="s">
        <v>129</v>
      </c>
      <c r="C71" s="41" t="n">
        <v>44930</v>
      </c>
      <c r="D71" s="42" t="n">
        <v>44960</v>
      </c>
      <c r="E71" s="17" t="n">
        <v>1.2058</v>
      </c>
      <c r="F71" s="17" t="n">
        <v>1.2125</v>
      </c>
      <c r="G71" s="17" t="n">
        <v>128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128</v>
      </c>
      <c r="B72" s="16" t="s">
        <v>129</v>
      </c>
      <c r="C72" s="41" t="n">
        <v>44950</v>
      </c>
      <c r="D72" s="42" t="n">
        <v>44960</v>
      </c>
      <c r="E72" s="17" t="n">
        <v>1.21</v>
      </c>
      <c r="F72" s="17" t="n">
        <v>1.2125</v>
      </c>
      <c r="G72" s="17" t="n">
        <v>72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128</v>
      </c>
      <c r="B73" s="16" t="s">
        <v>129</v>
      </c>
      <c r="C73" s="41" t="n">
        <v>44950</v>
      </c>
      <c r="D73" s="42" t="n">
        <v>45036</v>
      </c>
      <c r="E73" s="17" t="n">
        <v>1.21</v>
      </c>
      <c r="F73" s="17" t="n">
        <v>1.2298</v>
      </c>
      <c r="G73" s="17" t="n">
        <v>288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128</v>
      </c>
      <c r="B74" s="16" t="s">
        <v>129</v>
      </c>
      <c r="C74" s="41" t="n">
        <v>44956</v>
      </c>
      <c r="D74" s="42" t="n">
        <v>45036</v>
      </c>
      <c r="E74" s="17" t="n">
        <v>1.2112</v>
      </c>
      <c r="F74" s="17" t="n">
        <v>1.2298</v>
      </c>
      <c r="G74" s="17" t="n">
        <v>33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128</v>
      </c>
      <c r="B75" s="16" t="s">
        <v>129</v>
      </c>
      <c r="C75" s="41" t="n">
        <v>44960</v>
      </c>
      <c r="D75" s="42" t="n">
        <v>45036</v>
      </c>
      <c r="E75" s="17" t="n">
        <v>1.2126</v>
      </c>
      <c r="F75" s="17" t="n">
        <v>1.2298</v>
      </c>
      <c r="G75" s="17" t="n">
        <v>54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128</v>
      </c>
      <c r="B76" s="16" t="s">
        <v>129</v>
      </c>
      <c r="C76" s="41" t="n">
        <v>45002</v>
      </c>
      <c r="D76" s="42" t="n">
        <v>45036</v>
      </c>
      <c r="E76" s="17" t="n">
        <v>1.222</v>
      </c>
      <c r="F76" s="17" t="n">
        <v>1.2298</v>
      </c>
      <c r="G76" s="17" t="n">
        <v>635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128</v>
      </c>
      <c r="B77" s="16" t="s">
        <v>129</v>
      </c>
      <c r="C77" s="41" t="n">
        <v>45002</v>
      </c>
      <c r="D77" s="42" t="n">
        <v>45044</v>
      </c>
      <c r="E77" s="17" t="n">
        <v>1.222</v>
      </c>
      <c r="F77" s="17" t="n">
        <v>1.2317</v>
      </c>
      <c r="G77" s="17" t="n">
        <v>480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128</v>
      </c>
      <c r="B78" s="16" t="s">
        <v>129</v>
      </c>
      <c r="C78" s="41" t="n">
        <v>45002</v>
      </c>
      <c r="D78" s="42" t="n">
        <v>45083</v>
      </c>
      <c r="E78" s="17" t="n">
        <v>1.222</v>
      </c>
      <c r="F78" s="17" t="n">
        <v>1.24</v>
      </c>
      <c r="G78" s="17" t="n">
        <v>364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128</v>
      </c>
      <c r="B79" s="16" t="s">
        <v>129</v>
      </c>
      <c r="C79" s="41" t="n">
        <v>45076</v>
      </c>
      <c r="D79" s="42" t="n">
        <v>45083</v>
      </c>
      <c r="E79" s="17" t="n">
        <v>1.2385</v>
      </c>
      <c r="F79" s="17" t="n">
        <v>1.24</v>
      </c>
      <c r="G79" s="17" t="n">
        <v>116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128</v>
      </c>
      <c r="B80" s="16" t="s">
        <v>129</v>
      </c>
      <c r="C80" s="41" t="n">
        <v>45076</v>
      </c>
      <c r="D80" s="42" t="n">
        <v>45120</v>
      </c>
      <c r="E80" s="17" t="n">
        <v>1.2385</v>
      </c>
      <c r="F80" s="17" t="n">
        <v>1.2491</v>
      </c>
      <c r="G80" s="17" t="n">
        <v>79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128</v>
      </c>
      <c r="B81" s="16" t="s">
        <v>129</v>
      </c>
      <c r="C81" s="41" t="n">
        <v>45091</v>
      </c>
      <c r="D81" s="42" t="n">
        <v>45120</v>
      </c>
      <c r="E81" s="17" t="n">
        <v>1.2419</v>
      </c>
      <c r="F81" s="17" t="n">
        <v>1.2491</v>
      </c>
      <c r="G81" s="17" t="n">
        <v>42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128</v>
      </c>
      <c r="B82" s="16" t="s">
        <v>129</v>
      </c>
      <c r="C82" s="41" t="n">
        <v>45092</v>
      </c>
      <c r="D82" s="42" t="n">
        <v>45120</v>
      </c>
      <c r="E82" s="17" t="n">
        <v>1.2426</v>
      </c>
      <c r="F82" s="17" t="n">
        <v>1.2491</v>
      </c>
      <c r="G82" s="17" t="n">
        <v>219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128</v>
      </c>
      <c r="B83" s="16" t="s">
        <v>129</v>
      </c>
      <c r="C83" s="41" t="n">
        <v>45092</v>
      </c>
      <c r="D83" s="42" t="n">
        <v>45196</v>
      </c>
      <c r="E83" s="17" t="n">
        <v>1.2426</v>
      </c>
      <c r="F83" s="17" t="n">
        <v>1.2743</v>
      </c>
      <c r="G83" s="17" t="n">
        <v>126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128</v>
      </c>
      <c r="B84" s="16" t="s">
        <v>129</v>
      </c>
      <c r="C84" s="41" t="n">
        <v>45107</v>
      </c>
      <c r="D84" s="42" t="n">
        <v>45196</v>
      </c>
      <c r="E84" s="17" t="n">
        <v>1.2457</v>
      </c>
      <c r="F84" s="17" t="n">
        <v>1.2743</v>
      </c>
      <c r="G84" s="17" t="n">
        <v>35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128</v>
      </c>
      <c r="B85" s="16" t="s">
        <v>129</v>
      </c>
      <c r="C85" s="41" t="n">
        <v>45119</v>
      </c>
      <c r="D85" s="42" t="n">
        <v>45196</v>
      </c>
      <c r="E85" s="17" t="n">
        <v>1.2484</v>
      </c>
      <c r="F85" s="17" t="n">
        <v>1.2743</v>
      </c>
      <c r="G85" s="17" t="n">
        <v>55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128</v>
      </c>
      <c r="B86" s="16" t="s">
        <v>129</v>
      </c>
      <c r="C86" s="41" t="n">
        <v>45121</v>
      </c>
      <c r="D86" s="42" t="n">
        <v>45196</v>
      </c>
      <c r="E86" s="17" t="n">
        <v>1.2494</v>
      </c>
      <c r="F86" s="17" t="n">
        <v>1.2743</v>
      </c>
      <c r="G86" s="17" t="n">
        <v>35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128</v>
      </c>
      <c r="B87" s="16" t="s">
        <v>129</v>
      </c>
      <c r="C87" s="41" t="n">
        <v>45133</v>
      </c>
      <c r="D87" s="42" t="n">
        <v>45196</v>
      </c>
      <c r="E87" s="17" t="n">
        <v>1.252</v>
      </c>
      <c r="F87" s="17" t="n">
        <v>1.2743</v>
      </c>
      <c r="G87" s="17" t="n">
        <v>25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128</v>
      </c>
      <c r="B88" s="16" t="s">
        <v>129</v>
      </c>
      <c r="C88" s="41" t="n">
        <v>45141</v>
      </c>
      <c r="D88" s="42" t="n">
        <v>45196</v>
      </c>
      <c r="E88" s="17" t="n">
        <v>1.2538</v>
      </c>
      <c r="F88" s="17" t="n">
        <v>1.2743</v>
      </c>
      <c r="G88" s="17" t="n">
        <v>65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128</v>
      </c>
      <c r="B89" s="16" t="s">
        <v>129</v>
      </c>
      <c r="C89" s="41" t="n">
        <v>45142</v>
      </c>
      <c r="D89" s="42" t="n">
        <v>45196</v>
      </c>
      <c r="E89" s="17" t="n">
        <v>1.2546</v>
      </c>
      <c r="F89" s="17" t="n">
        <v>1.2743</v>
      </c>
      <c r="G89" s="17" t="n">
        <v>29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128</v>
      </c>
      <c r="B90" s="16" t="s">
        <v>129</v>
      </c>
      <c r="C90" s="41" t="n">
        <v>45142</v>
      </c>
      <c r="D90" s="42" t="n">
        <v>45307</v>
      </c>
      <c r="E90" s="17" t="n">
        <v>1.2546</v>
      </c>
      <c r="F90" s="17" t="n">
        <v>1.3294</v>
      </c>
      <c r="G90" s="17" t="n">
        <v>27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128</v>
      </c>
      <c r="B91" s="16" t="s">
        <v>129</v>
      </c>
      <c r="C91" s="41" t="n">
        <v>45265</v>
      </c>
      <c r="D91" s="42" t="n">
        <v>45307</v>
      </c>
      <c r="E91" s="17" t="n">
        <v>1.3069</v>
      </c>
      <c r="F91" s="17" t="n">
        <v>1.3294</v>
      </c>
      <c r="G91" s="17" t="n">
        <v>11000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128</v>
      </c>
      <c r="B92" s="16" t="s">
        <v>129</v>
      </c>
      <c r="C92" s="41" t="n">
        <v>45266</v>
      </c>
      <c r="D92" s="42" t="n">
        <v>45307</v>
      </c>
      <c r="E92" s="17" t="n">
        <v>1.3074</v>
      </c>
      <c r="F92" s="17" t="n">
        <v>1.3294</v>
      </c>
      <c r="G92" s="17" t="n">
        <v>390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128</v>
      </c>
      <c r="B93" s="16" t="s">
        <v>129</v>
      </c>
      <c r="C93" s="41" t="n">
        <v>45267</v>
      </c>
      <c r="D93" s="42" t="n">
        <v>45307</v>
      </c>
      <c r="E93" s="17" t="n">
        <v>1.308</v>
      </c>
      <c r="F93" s="17" t="n">
        <v>1.3294</v>
      </c>
      <c r="G93" s="17" t="n">
        <v>35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128</v>
      </c>
      <c r="B94" s="16" t="s">
        <v>129</v>
      </c>
      <c r="C94" s="41" t="n">
        <v>45271</v>
      </c>
      <c r="D94" s="42" t="n">
        <v>45307</v>
      </c>
      <c r="E94" s="17" t="n">
        <v>1.3101</v>
      </c>
      <c r="F94" s="17" t="n">
        <v>1.3294</v>
      </c>
      <c r="G94" s="17" t="n">
        <v>1670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128</v>
      </c>
      <c r="B95" s="16" t="s">
        <v>129</v>
      </c>
      <c r="C95" s="41" t="n">
        <v>45272</v>
      </c>
      <c r="D95" s="42" t="n">
        <v>45307</v>
      </c>
      <c r="E95" s="17" t="n">
        <v>1.3105</v>
      </c>
      <c r="F95" s="17" t="n">
        <v>1.3294</v>
      </c>
      <c r="G95" s="17" t="n">
        <v>3248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128</v>
      </c>
      <c r="B96" s="16" t="s">
        <v>129</v>
      </c>
      <c r="C96" s="41" t="n">
        <v>45272</v>
      </c>
      <c r="D96" s="42" t="n">
        <v>45308</v>
      </c>
      <c r="E96" s="17" t="n">
        <v>1.3105</v>
      </c>
      <c r="F96" s="17" t="n">
        <v>1.3293</v>
      </c>
      <c r="G96" s="17" t="n">
        <v>3850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128</v>
      </c>
      <c r="B97" s="16" t="s">
        <v>129</v>
      </c>
      <c r="C97" s="41" t="n">
        <v>45272</v>
      </c>
      <c r="D97" s="42" t="n">
        <v>45321</v>
      </c>
      <c r="E97" s="17" t="n">
        <v>1.3105</v>
      </c>
      <c r="F97" s="17" t="n">
        <v>1.3374</v>
      </c>
      <c r="G97" s="17" t="n">
        <v>15902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128</v>
      </c>
      <c r="B98" s="16" t="s">
        <v>129</v>
      </c>
      <c r="C98" s="41" t="n">
        <v>45273</v>
      </c>
      <c r="D98" s="42" t="n">
        <v>45321</v>
      </c>
      <c r="E98" s="17" t="n">
        <v>1.311</v>
      </c>
      <c r="F98" s="17" t="n">
        <v>1.3374</v>
      </c>
      <c r="G98" s="17" t="n">
        <v>1538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128</v>
      </c>
      <c r="B99" s="16" t="s">
        <v>129</v>
      </c>
      <c r="C99" s="41" t="n">
        <v>45273</v>
      </c>
      <c r="D99" s="42" t="n">
        <v>45323</v>
      </c>
      <c r="E99" s="17" t="n">
        <v>1.311</v>
      </c>
      <c r="F99" s="17" t="n">
        <v>1.3384</v>
      </c>
      <c r="G99" s="17" t="n">
        <v>1200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128</v>
      </c>
      <c r="B100" s="16" t="s">
        <v>129</v>
      </c>
      <c r="C100" s="41" t="n">
        <v>45273</v>
      </c>
      <c r="D100" s="42" t="n">
        <v>45324</v>
      </c>
      <c r="E100" s="17" t="n">
        <v>1.311</v>
      </c>
      <c r="F100" s="17" t="n">
        <v>1.34</v>
      </c>
      <c r="G100" s="17" t="n">
        <v>28262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128</v>
      </c>
      <c r="B101" s="16" t="s">
        <v>129</v>
      </c>
      <c r="C101" s="41" t="n">
        <v>45274</v>
      </c>
      <c r="D101" s="42" t="n">
        <v>45324</v>
      </c>
      <c r="E101" s="17" t="n">
        <v>1.3109</v>
      </c>
      <c r="F101" s="17" t="n">
        <v>1.34</v>
      </c>
      <c r="G101" s="17" t="n">
        <v>46745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128</v>
      </c>
      <c r="B102" s="16" t="s">
        <v>129</v>
      </c>
      <c r="C102" s="41" t="n">
        <v>45274</v>
      </c>
      <c r="D102" s="42" t="n">
        <v>45327</v>
      </c>
      <c r="E102" s="17" t="n">
        <v>1.3109</v>
      </c>
      <c r="F102" s="17" t="n">
        <v>1.3397</v>
      </c>
      <c r="G102" s="17" t="n">
        <v>13503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128</v>
      </c>
      <c r="B103" s="16" t="s">
        <v>129</v>
      </c>
      <c r="C103" s="41" t="n">
        <v>45275</v>
      </c>
      <c r="D103" s="42" t="n">
        <v>45327</v>
      </c>
      <c r="E103" s="17" t="n">
        <v>1.3131</v>
      </c>
      <c r="F103" s="17" t="n">
        <v>1.3397</v>
      </c>
      <c r="G103" s="17" t="n">
        <v>9497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128</v>
      </c>
      <c r="B104" s="16" t="s">
        <v>129</v>
      </c>
      <c r="C104" s="41" t="n">
        <v>45275</v>
      </c>
      <c r="D104" s="42" t="n">
        <v>45341</v>
      </c>
      <c r="E104" s="17" t="n">
        <v>1.3131</v>
      </c>
      <c r="F104" s="17" t="n">
        <v>1.3484</v>
      </c>
      <c r="G104" s="17" t="n">
        <v>9500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128</v>
      </c>
      <c r="B105" s="16" t="s">
        <v>129</v>
      </c>
      <c r="C105" s="41" t="n">
        <v>45275</v>
      </c>
      <c r="D105" s="42" t="n">
        <v>45348</v>
      </c>
      <c r="E105" s="17" t="n">
        <v>1.3131</v>
      </c>
      <c r="F105" s="17" t="n">
        <v>1.3524</v>
      </c>
      <c r="G105" s="17" t="n">
        <v>5496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128</v>
      </c>
      <c r="B106" s="16" t="s">
        <v>129</v>
      </c>
      <c r="C106" s="41" t="n">
        <v>45275</v>
      </c>
      <c r="D106" s="42" t="n">
        <v>45365</v>
      </c>
      <c r="E106" s="17" t="n">
        <v>1.3131</v>
      </c>
      <c r="F106" s="17" t="n">
        <v>1.3621</v>
      </c>
      <c r="G106" s="17" t="n">
        <v>7054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128</v>
      </c>
      <c r="B107" s="16" t="s">
        <v>129</v>
      </c>
      <c r="C107" s="41" t="n">
        <v>45275</v>
      </c>
      <c r="D107" s="42" t="n">
        <v>45366</v>
      </c>
      <c r="E107" s="17" t="n">
        <v>1.3131</v>
      </c>
      <c r="F107" s="17" t="n">
        <v>1.364</v>
      </c>
      <c r="G107" s="17" t="n">
        <v>3710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128</v>
      </c>
      <c r="B108" s="16" t="s">
        <v>129</v>
      </c>
      <c r="C108" s="41" t="n">
        <v>45275</v>
      </c>
      <c r="D108" s="42" t="n">
        <v>45369</v>
      </c>
      <c r="E108" s="17" t="n">
        <v>1.3131</v>
      </c>
      <c r="F108" s="17" t="n">
        <v>1.3644</v>
      </c>
      <c r="G108" s="17" t="n">
        <v>13243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128</v>
      </c>
      <c r="B109" s="16" t="s">
        <v>129</v>
      </c>
      <c r="C109" s="41" t="n">
        <v>45278</v>
      </c>
      <c r="D109" s="42" t="n">
        <v>45369</v>
      </c>
      <c r="E109" s="17" t="n">
        <v>1.3135</v>
      </c>
      <c r="F109" s="17" t="n">
        <v>1.3644</v>
      </c>
      <c r="G109" s="17" t="n">
        <v>180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128</v>
      </c>
      <c r="B110" s="16" t="s">
        <v>129</v>
      </c>
      <c r="C110" s="41" t="n">
        <v>45279</v>
      </c>
      <c r="D110" s="42" t="n">
        <v>45369</v>
      </c>
      <c r="E110" s="17" t="n">
        <v>1.3143</v>
      </c>
      <c r="F110" s="17" t="n">
        <v>1.3644</v>
      </c>
      <c r="G110" s="17" t="n">
        <v>180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128</v>
      </c>
      <c r="B111" s="16" t="s">
        <v>129</v>
      </c>
      <c r="C111" s="41" t="n">
        <v>45280</v>
      </c>
      <c r="D111" s="42" t="n">
        <v>45369</v>
      </c>
      <c r="E111" s="17" t="n">
        <v>1.3148</v>
      </c>
      <c r="F111" s="17" t="n">
        <v>1.3644</v>
      </c>
      <c r="G111" s="17" t="n">
        <v>250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128</v>
      </c>
      <c r="B112" s="16" t="s">
        <v>129</v>
      </c>
      <c r="C112" s="41" t="n">
        <v>45286</v>
      </c>
      <c r="D112" s="42" t="n">
        <v>45369</v>
      </c>
      <c r="E112" s="17" t="n">
        <v>1.3181</v>
      </c>
      <c r="F112" s="17" t="n">
        <v>1.3644</v>
      </c>
      <c r="G112" s="17" t="n">
        <v>1190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128</v>
      </c>
      <c r="B113" s="16" t="s">
        <v>129</v>
      </c>
      <c r="C113" s="41" t="n">
        <v>45287</v>
      </c>
      <c r="D113" s="42" t="n">
        <v>45369</v>
      </c>
      <c r="E113" s="17" t="n">
        <v>1.3187</v>
      </c>
      <c r="F113" s="17" t="n">
        <v>1.3644</v>
      </c>
      <c r="G113" s="17" t="n">
        <v>1338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128</v>
      </c>
      <c r="B114" s="16" t="s">
        <v>129</v>
      </c>
      <c r="C114" s="41" t="n">
        <v>45287</v>
      </c>
      <c r="D114" s="42" t="n">
        <v>45379</v>
      </c>
      <c r="E114" s="17" t="n">
        <v>1.3187</v>
      </c>
      <c r="F114" s="17" t="n">
        <v>1.37</v>
      </c>
      <c r="G114" s="17" t="n">
        <v>4167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128</v>
      </c>
      <c r="B115" s="16" t="s">
        <v>129</v>
      </c>
      <c r="C115" s="41" t="n">
        <v>45288</v>
      </c>
      <c r="D115" s="42" t="n">
        <v>45379</v>
      </c>
      <c r="E115" s="17" t="n">
        <v>1.3203</v>
      </c>
      <c r="F115" s="17" t="n">
        <v>1.37</v>
      </c>
      <c r="G115" s="17" t="n">
        <v>1493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128</v>
      </c>
      <c r="B116" s="16" t="s">
        <v>129</v>
      </c>
      <c r="C116" s="41" t="n">
        <v>45288</v>
      </c>
      <c r="D116" s="42" t="n">
        <v>45391</v>
      </c>
      <c r="E116" s="17" t="n">
        <v>1.3203</v>
      </c>
      <c r="F116" s="17" t="n">
        <v>1.377</v>
      </c>
      <c r="G116" s="17" t="n">
        <v>14230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128</v>
      </c>
      <c r="B117" s="16" t="s">
        <v>129</v>
      </c>
      <c r="C117" s="41" t="n">
        <v>45288</v>
      </c>
      <c r="D117" s="42" t="n">
        <v>45401</v>
      </c>
      <c r="E117" s="17" t="n">
        <v>1.3203</v>
      </c>
      <c r="F117" s="17" t="n">
        <v>1.3831</v>
      </c>
      <c r="G117" s="17" t="n">
        <v>1150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128</v>
      </c>
      <c r="B118" s="16" t="s">
        <v>129</v>
      </c>
      <c r="C118" s="41" t="n">
        <v>45288</v>
      </c>
      <c r="D118" s="42" t="n">
        <v>45418</v>
      </c>
      <c r="E118" s="17" t="n">
        <v>1.3203</v>
      </c>
      <c r="F118" s="17" t="n">
        <v>1.3924</v>
      </c>
      <c r="G118" s="17" t="n">
        <v>2565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128</v>
      </c>
      <c r="B119" s="16" t="s">
        <v>129</v>
      </c>
      <c r="C119" s="41" t="n">
        <v>45288</v>
      </c>
      <c r="D119" s="42" t="n">
        <v>45429</v>
      </c>
      <c r="E119" s="17" t="n">
        <v>1.3203</v>
      </c>
      <c r="F119" s="17" t="n">
        <v>1.3998</v>
      </c>
      <c r="G119" s="17" t="n">
        <v>32782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128</v>
      </c>
      <c r="B120" s="16" t="s">
        <v>129</v>
      </c>
      <c r="C120" s="41" t="n">
        <v>45288</v>
      </c>
      <c r="D120" s="42" t="n">
        <v>45435</v>
      </c>
      <c r="E120" s="17" t="n">
        <v>1.3203</v>
      </c>
      <c r="F120" s="17" t="n">
        <v>1.4023</v>
      </c>
      <c r="G120" s="17" t="n">
        <v>414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128</v>
      </c>
      <c r="B121" s="16" t="s">
        <v>129</v>
      </c>
      <c r="C121" s="41" t="n">
        <v>45288</v>
      </c>
      <c r="D121" s="42" t="n">
        <v>45442</v>
      </c>
      <c r="E121" s="17" t="n">
        <v>1.3203</v>
      </c>
      <c r="F121" s="17" t="n">
        <v>1.4068</v>
      </c>
      <c r="G121" s="17" t="n">
        <v>2870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128</v>
      </c>
      <c r="B122" s="16" t="s">
        <v>129</v>
      </c>
      <c r="C122" s="41" t="n">
        <v>45288</v>
      </c>
      <c r="D122" s="42" t="n">
        <v>45446</v>
      </c>
      <c r="E122" s="17" t="n">
        <v>1.3203</v>
      </c>
      <c r="F122" s="17" t="n">
        <v>1.4091</v>
      </c>
      <c r="G122" s="17" t="n">
        <v>1853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128</v>
      </c>
      <c r="B123" s="16" t="s">
        <v>129</v>
      </c>
      <c r="C123" s="41" t="n">
        <v>45288</v>
      </c>
      <c r="D123" s="42" t="n">
        <v>45447</v>
      </c>
      <c r="E123" s="17" t="n">
        <v>1.3203</v>
      </c>
      <c r="F123" s="17" t="n">
        <v>1.4097</v>
      </c>
      <c r="G123" s="17" t="n">
        <v>3903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128</v>
      </c>
      <c r="B124" s="16" t="s">
        <v>129</v>
      </c>
      <c r="C124" s="41" t="n">
        <v>45288</v>
      </c>
      <c r="D124" s="42" t="n">
        <v>45454</v>
      </c>
      <c r="E124" s="17" t="n">
        <v>1.3203</v>
      </c>
      <c r="F124" s="17" t="n">
        <v>1.4148</v>
      </c>
      <c r="G124" s="17" t="n">
        <v>10220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128</v>
      </c>
      <c r="B125" s="16" t="s">
        <v>129</v>
      </c>
      <c r="C125" s="41" t="n">
        <v>45288</v>
      </c>
      <c r="D125" s="42" t="n">
        <v>45461</v>
      </c>
      <c r="E125" s="17" t="n">
        <v>1.3203</v>
      </c>
      <c r="F125" s="17" t="n">
        <v>1.4184</v>
      </c>
      <c r="G125" s="17" t="n">
        <v>7100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128</v>
      </c>
      <c r="B126" s="16" t="s">
        <v>129</v>
      </c>
      <c r="C126" s="41" t="n">
        <v>45288</v>
      </c>
      <c r="D126" s="42" t="n">
        <v>45463</v>
      </c>
      <c r="E126" s="17" t="n">
        <v>1.3203</v>
      </c>
      <c r="F126" s="17" t="n">
        <v>1.4193</v>
      </c>
      <c r="G126" s="17" t="n">
        <v>1690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128</v>
      </c>
      <c r="B127" s="16" t="s">
        <v>129</v>
      </c>
      <c r="C127" s="41" t="n">
        <v>45303</v>
      </c>
      <c r="D127" s="42" t="n">
        <v>45463</v>
      </c>
      <c r="E127" s="17" t="n">
        <v>1.3282</v>
      </c>
      <c r="F127" s="17" t="n">
        <v>1.4193</v>
      </c>
      <c r="G127" s="17" t="n">
        <v>130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128</v>
      </c>
      <c r="B128" s="16" t="s">
        <v>129</v>
      </c>
      <c r="C128" s="41" t="n">
        <v>45315</v>
      </c>
      <c r="D128" s="42" t="n">
        <v>45463</v>
      </c>
      <c r="E128" s="17" t="n">
        <v>1.334</v>
      </c>
      <c r="F128" s="17" t="n">
        <v>1.4193</v>
      </c>
      <c r="G128" s="17" t="n">
        <v>20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128</v>
      </c>
      <c r="B129" s="16" t="s">
        <v>129</v>
      </c>
      <c r="C129" s="41" t="n">
        <v>45316</v>
      </c>
      <c r="D129" s="42" t="n">
        <v>45463</v>
      </c>
      <c r="E129" s="17" t="n">
        <v>1.3347</v>
      </c>
      <c r="F129" s="17" t="n">
        <v>1.4193</v>
      </c>
      <c r="G129" s="17" t="n">
        <v>68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128</v>
      </c>
      <c r="B130" s="16" t="s">
        <v>129</v>
      </c>
      <c r="C130" s="41" t="n">
        <v>45336</v>
      </c>
      <c r="D130" s="42" t="n">
        <v>45463</v>
      </c>
      <c r="E130" s="17" t="n">
        <v>1.346</v>
      </c>
      <c r="F130" s="17" t="n">
        <v>1.4193</v>
      </c>
      <c r="G130" s="17" t="n">
        <v>10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128</v>
      </c>
      <c r="B131" s="16" t="s">
        <v>129</v>
      </c>
      <c r="C131" s="41" t="n">
        <v>45341</v>
      </c>
      <c r="D131" s="42" t="n">
        <v>45463</v>
      </c>
      <c r="E131" s="17" t="n">
        <v>1.3483</v>
      </c>
      <c r="F131" s="17" t="n">
        <v>1.4193</v>
      </c>
      <c r="G131" s="17" t="n">
        <v>66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128</v>
      </c>
      <c r="B132" s="16" t="s">
        <v>129</v>
      </c>
      <c r="C132" s="41" t="n">
        <v>45383</v>
      </c>
      <c r="D132" s="42" t="n">
        <v>45463</v>
      </c>
      <c r="E132" s="17" t="n">
        <v>1.3725</v>
      </c>
      <c r="F132" s="17" t="n">
        <v>1.4193</v>
      </c>
      <c r="G132" s="17" t="n">
        <v>450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128</v>
      </c>
      <c r="B133" s="16" t="s">
        <v>129</v>
      </c>
      <c r="C133" s="41" t="n">
        <v>45397</v>
      </c>
      <c r="D133" s="42" t="n">
        <v>45463</v>
      </c>
      <c r="E133" s="17" t="n">
        <v>1.3799</v>
      </c>
      <c r="F133" s="17" t="n">
        <v>1.4193</v>
      </c>
      <c r="G133" s="17" t="n">
        <v>120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128</v>
      </c>
      <c r="B134" s="16" t="s">
        <v>129</v>
      </c>
      <c r="C134" s="41" t="n">
        <v>45404</v>
      </c>
      <c r="D134" s="42" t="n">
        <v>45463</v>
      </c>
      <c r="E134" s="17" t="n">
        <v>1.384</v>
      </c>
      <c r="F134" s="17" t="n">
        <v>1.4193</v>
      </c>
      <c r="G134" s="17" t="n">
        <v>165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128</v>
      </c>
      <c r="B135" s="16" t="s">
        <v>129</v>
      </c>
      <c r="C135" s="41" t="n">
        <v>45409</v>
      </c>
      <c r="D135" s="42" t="n">
        <v>45463</v>
      </c>
      <c r="E135" s="17" t="n">
        <v>1.3878</v>
      </c>
      <c r="F135" s="17" t="n">
        <v>1.4193</v>
      </c>
      <c r="G135" s="17" t="n">
        <v>181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128</v>
      </c>
      <c r="B136" s="16" t="s">
        <v>129</v>
      </c>
      <c r="C136" s="41" t="n">
        <v>45409</v>
      </c>
      <c r="D136" s="42" t="n">
        <v>45464</v>
      </c>
      <c r="E136" s="17" t="n">
        <v>1.3878</v>
      </c>
      <c r="F136" s="17" t="n">
        <v>1.4211</v>
      </c>
      <c r="G136" s="17" t="n">
        <v>134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128</v>
      </c>
      <c r="B137" s="16" t="s">
        <v>129</v>
      </c>
      <c r="C137" s="41" t="n">
        <v>45414</v>
      </c>
      <c r="D137" s="42" t="n">
        <v>45464</v>
      </c>
      <c r="E137" s="17" t="n">
        <v>1.39</v>
      </c>
      <c r="F137" s="17" t="n">
        <v>1.4211</v>
      </c>
      <c r="G137" s="17" t="n">
        <v>53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128</v>
      </c>
      <c r="B138" s="16" t="s">
        <v>129</v>
      </c>
      <c r="C138" s="41" t="n">
        <v>45474</v>
      </c>
      <c r="D138" s="42" t="n">
        <v>45483</v>
      </c>
      <c r="E138" s="17" t="n">
        <v>1.426</v>
      </c>
      <c r="F138" s="17" t="n">
        <v>1.4314</v>
      </c>
      <c r="G138" s="17" t="n">
        <v>1770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128</v>
      </c>
      <c r="B139" s="16" t="s">
        <v>129</v>
      </c>
      <c r="C139" s="41" t="n">
        <v>45474</v>
      </c>
      <c r="D139" s="42" t="n">
        <v>45484</v>
      </c>
      <c r="E139" s="17" t="n">
        <v>1.426</v>
      </c>
      <c r="F139" s="17" t="n">
        <v>1.4321</v>
      </c>
      <c r="G139" s="17" t="n">
        <v>1160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128</v>
      </c>
      <c r="B140" s="16" t="s">
        <v>129</v>
      </c>
      <c r="C140" s="41" t="n">
        <v>45474</v>
      </c>
      <c r="D140" s="42" t="n">
        <v>45492</v>
      </c>
      <c r="E140" s="17" t="n">
        <v>1.426</v>
      </c>
      <c r="F140" s="17" t="n">
        <v>1.4384</v>
      </c>
      <c r="G140" s="17" t="n">
        <v>355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128</v>
      </c>
      <c r="B141" s="16" t="s">
        <v>129</v>
      </c>
      <c r="C141" s="41" t="n">
        <v>45491</v>
      </c>
      <c r="D141" s="42" t="n">
        <v>45492</v>
      </c>
      <c r="E141" s="17" t="n">
        <v>1.4367</v>
      </c>
      <c r="F141" s="17" t="n">
        <v>1.4384</v>
      </c>
      <c r="G141" s="17" t="n">
        <v>55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128</v>
      </c>
      <c r="B142" s="16" t="s">
        <v>129</v>
      </c>
      <c r="C142" s="41" t="n">
        <v>45491</v>
      </c>
      <c r="D142" s="42" t="n">
        <v>45503</v>
      </c>
      <c r="E142" s="17" t="n">
        <v>1.4367</v>
      </c>
      <c r="F142" s="17" t="n">
        <v>1.4439</v>
      </c>
      <c r="G142" s="17" t="n">
        <v>200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128</v>
      </c>
      <c r="B143" s="16" t="s">
        <v>129</v>
      </c>
      <c r="C143" s="41" t="n">
        <v>45499</v>
      </c>
      <c r="D143" s="42" t="n">
        <v>45503</v>
      </c>
      <c r="E143" s="17" t="n">
        <v>1.4425</v>
      </c>
      <c r="F143" s="17" t="n">
        <v>1.4439</v>
      </c>
      <c r="G143" s="17" t="n">
        <v>470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128</v>
      </c>
      <c r="B144" s="16" t="s">
        <v>129</v>
      </c>
      <c r="C144" s="41" t="n">
        <v>45517</v>
      </c>
      <c r="D144" s="42" t="n">
        <v>45526</v>
      </c>
      <c r="E144" s="17" t="n">
        <v>1.4533</v>
      </c>
      <c r="F144" s="17" t="n">
        <v>1.4596</v>
      </c>
      <c r="G144" s="17" t="n">
        <v>370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128</v>
      </c>
      <c r="B145" s="16" t="s">
        <v>129</v>
      </c>
      <c r="C145" s="41" t="n">
        <v>45517</v>
      </c>
      <c r="D145" s="42" t="n">
        <v>45537</v>
      </c>
      <c r="E145" s="17" t="n">
        <v>1.4533</v>
      </c>
      <c r="F145" s="17" t="n">
        <v>1.467</v>
      </c>
      <c r="G145" s="17" t="n">
        <v>20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128</v>
      </c>
      <c r="B146" s="16" t="s">
        <v>129</v>
      </c>
      <c r="C146" s="41" t="n">
        <v>45551</v>
      </c>
      <c r="D146" s="42" t="n">
        <v>45593</v>
      </c>
      <c r="E146" s="17" t="n">
        <v>1.4776</v>
      </c>
      <c r="F146" s="17" t="n">
        <v>1.5085</v>
      </c>
      <c r="G146" s="17" t="n">
        <v>6620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128</v>
      </c>
      <c r="B147" s="16" t="s">
        <v>129</v>
      </c>
      <c r="C147" s="41" t="n">
        <v>45551</v>
      </c>
      <c r="D147" s="42" t="n">
        <v>45594</v>
      </c>
      <c r="E147" s="17" t="n">
        <v>1.4776</v>
      </c>
      <c r="F147" s="17" t="n">
        <v>1.509</v>
      </c>
      <c r="G147" s="17" t="n">
        <v>19380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128</v>
      </c>
      <c r="B148" s="16" t="s">
        <v>129</v>
      </c>
      <c r="C148" s="41" t="n">
        <v>45559</v>
      </c>
      <c r="D148" s="42" t="n">
        <v>45594</v>
      </c>
      <c r="E148" s="17" t="n">
        <v>1.4834</v>
      </c>
      <c r="F148" s="17" t="n">
        <v>1.509</v>
      </c>
      <c r="G148" s="17" t="n">
        <v>7450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128</v>
      </c>
      <c r="B149" s="16" t="s">
        <v>129</v>
      </c>
      <c r="C149" s="41" t="n">
        <v>45560</v>
      </c>
      <c r="D149" s="42" t="n">
        <v>45594</v>
      </c>
      <c r="E149" s="17" t="n">
        <v>1.4841</v>
      </c>
      <c r="F149" s="17" t="n">
        <v>1.509</v>
      </c>
      <c r="G149" s="17" t="n">
        <v>1150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128</v>
      </c>
      <c r="B150" s="16" t="s">
        <v>129</v>
      </c>
      <c r="C150" s="41" t="n">
        <v>45561</v>
      </c>
      <c r="D150" s="42" t="n">
        <v>45594</v>
      </c>
      <c r="E150" s="17" t="n">
        <v>1.4848</v>
      </c>
      <c r="F150" s="17" t="n">
        <v>1.509</v>
      </c>
      <c r="G150" s="17" t="n">
        <v>500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128</v>
      </c>
      <c r="B151" s="16" t="s">
        <v>129</v>
      </c>
      <c r="C151" s="41" t="n">
        <v>45565</v>
      </c>
      <c r="D151" s="42" t="n">
        <v>45594</v>
      </c>
      <c r="E151" s="17" t="n">
        <v>1.4878</v>
      </c>
      <c r="F151" s="17" t="n">
        <v>1.509</v>
      </c>
      <c r="G151" s="17" t="n">
        <v>270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128</v>
      </c>
      <c r="B152" s="16" t="s">
        <v>129</v>
      </c>
      <c r="C152" s="41" t="n">
        <v>45597</v>
      </c>
      <c r="D152" s="42" t="n">
        <v>45604</v>
      </c>
      <c r="E152" s="17" t="n">
        <v>1.5114</v>
      </c>
      <c r="F152" s="17" t="n">
        <v>1.5186</v>
      </c>
      <c r="G152" s="17" t="n">
        <v>200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128</v>
      </c>
      <c r="B153" s="16" t="s">
        <v>129</v>
      </c>
      <c r="C153" s="41" t="n">
        <v>45602</v>
      </c>
      <c r="D153" s="42" t="n">
        <v>45604</v>
      </c>
      <c r="E153" s="17" t="n">
        <v>1.5154</v>
      </c>
      <c r="F153" s="17" t="n">
        <v>1.5186</v>
      </c>
      <c r="G153" s="17" t="n">
        <v>5680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128</v>
      </c>
      <c r="B154" s="16" t="s">
        <v>129</v>
      </c>
      <c r="C154" s="41" t="n">
        <v>45602</v>
      </c>
      <c r="D154" s="42" t="n">
        <v>45607</v>
      </c>
      <c r="E154" s="17" t="n">
        <v>1.5154</v>
      </c>
      <c r="F154" s="17" t="n">
        <v>1.5194</v>
      </c>
      <c r="G154" s="17" t="n">
        <v>2420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128</v>
      </c>
      <c r="B155" s="16" t="s">
        <v>129</v>
      </c>
      <c r="C155" s="41" t="n">
        <v>45603</v>
      </c>
      <c r="D155" s="42" t="n">
        <v>45607</v>
      </c>
      <c r="E155" s="17" t="n">
        <v>1.5163</v>
      </c>
      <c r="F155" s="17" t="n">
        <v>1.5194</v>
      </c>
      <c r="G155" s="17" t="n">
        <v>1280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128</v>
      </c>
      <c r="B156" s="16" t="s">
        <v>129</v>
      </c>
      <c r="C156" s="41" t="n">
        <v>45603</v>
      </c>
      <c r="D156" s="42" t="n">
        <v>45621</v>
      </c>
      <c r="E156" s="17" t="n">
        <v>1.5163</v>
      </c>
      <c r="F156" s="17" t="n">
        <v>1.5317</v>
      </c>
      <c r="G156" s="17" t="n">
        <v>2850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128</v>
      </c>
      <c r="B157" s="16" t="s">
        <v>129</v>
      </c>
      <c r="C157" s="41" t="n">
        <v>45603</v>
      </c>
      <c r="D157" s="42" t="n">
        <v>45685</v>
      </c>
      <c r="E157" s="17" t="n">
        <v>1.5163</v>
      </c>
      <c r="F157" s="17" t="n">
        <v>1.5873</v>
      </c>
      <c r="G157" s="17" t="n">
        <v>1020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128</v>
      </c>
      <c r="B158" s="16" t="s">
        <v>129</v>
      </c>
      <c r="C158" s="41" t="n">
        <v>45607</v>
      </c>
      <c r="D158" s="42" t="n">
        <v>45685</v>
      </c>
      <c r="E158" s="17" t="n">
        <v>1.5195</v>
      </c>
      <c r="F158" s="17" t="n">
        <v>1.5873</v>
      </c>
      <c r="G158" s="17" t="n">
        <v>270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128</v>
      </c>
      <c r="B159" s="16" t="s">
        <v>129</v>
      </c>
      <c r="C159" s="41" t="n">
        <v>45610</v>
      </c>
      <c r="D159" s="42" t="n">
        <v>45685</v>
      </c>
      <c r="E159" s="17" t="n">
        <v>1.5224</v>
      </c>
      <c r="F159" s="17" t="n">
        <v>1.5873</v>
      </c>
      <c r="G159" s="17" t="n">
        <v>325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128</v>
      </c>
      <c r="B160" s="16" t="s">
        <v>129</v>
      </c>
      <c r="C160" s="41" t="n">
        <v>45628</v>
      </c>
      <c r="D160" s="42" t="n">
        <v>45685</v>
      </c>
      <c r="E160" s="17" t="n">
        <v>1.5377</v>
      </c>
      <c r="F160" s="17" t="n">
        <v>1.5873</v>
      </c>
      <c r="G160" s="17" t="n">
        <v>250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128</v>
      </c>
      <c r="B161" s="16" t="s">
        <v>129</v>
      </c>
      <c r="C161" s="41" t="n">
        <v>45636</v>
      </c>
      <c r="D161" s="42" t="n">
        <v>45685</v>
      </c>
      <c r="E161" s="17" t="n">
        <v>1.5447</v>
      </c>
      <c r="F161" s="17" t="n">
        <v>1.5873</v>
      </c>
      <c r="G161" s="17" t="n">
        <v>55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128</v>
      </c>
      <c r="B162" s="16" t="s">
        <v>129</v>
      </c>
      <c r="C162" s="41" t="n">
        <v>45670</v>
      </c>
      <c r="D162" s="42" t="n">
        <v>45685</v>
      </c>
      <c r="E162" s="17" t="n">
        <v>1.5743</v>
      </c>
      <c r="F162" s="17" t="n">
        <v>1.5873</v>
      </c>
      <c r="G162" s="17" t="n">
        <v>570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128</v>
      </c>
      <c r="B163" s="16" t="s">
        <v>129</v>
      </c>
      <c r="C163" s="41" t="n">
        <v>45670</v>
      </c>
      <c r="D163" s="42" t="n">
        <v>45695</v>
      </c>
      <c r="E163" s="17" t="n">
        <v>1.5743</v>
      </c>
      <c r="F163" s="17" t="n">
        <v>1.5976</v>
      </c>
      <c r="G163" s="17" t="n">
        <v>1390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128</v>
      </c>
      <c r="B164" s="16" t="s">
        <v>129</v>
      </c>
      <c r="C164" s="41" t="n">
        <v>45691</v>
      </c>
      <c r="D164" s="42" t="n">
        <v>45695</v>
      </c>
      <c r="E164" s="17" t="n">
        <v>1.5926</v>
      </c>
      <c r="F164" s="17" t="n">
        <v>1.5976</v>
      </c>
      <c r="G164" s="17" t="n">
        <v>392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128</v>
      </c>
      <c r="B165" s="16" t="s">
        <v>129</v>
      </c>
      <c r="C165" s="41" t="n">
        <v>45695</v>
      </c>
      <c r="D165" s="42" t="n">
        <v>45695</v>
      </c>
      <c r="E165" s="17" t="n">
        <v>1.5977</v>
      </c>
      <c r="F165" s="17" t="n">
        <v>1.5976</v>
      </c>
      <c r="G165" s="17" t="n">
        <v>2118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128</v>
      </c>
      <c r="B166" s="16" t="s">
        <v>129</v>
      </c>
      <c r="C166" s="41" t="n">
        <v>45695</v>
      </c>
      <c r="D166" s="42" t="n">
        <v>45852</v>
      </c>
      <c r="E166" s="17" t="n">
        <v>1.5977</v>
      </c>
      <c r="F166" s="17" t="n">
        <v>1.7432</v>
      </c>
      <c r="G166" s="17" t="n">
        <v>122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128</v>
      </c>
      <c r="B167" s="16" t="s">
        <v>129</v>
      </c>
      <c r="C167" s="41" t="n">
        <v>45698</v>
      </c>
      <c r="D167" s="42" t="n">
        <v>45852</v>
      </c>
      <c r="E167" s="17" t="n">
        <v>1.5987</v>
      </c>
      <c r="F167" s="17" t="n">
        <v>1.7432</v>
      </c>
      <c r="G167" s="17" t="n">
        <v>75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128</v>
      </c>
      <c r="B168" s="16" t="s">
        <v>129</v>
      </c>
      <c r="C168" s="41" t="n">
        <v>45700</v>
      </c>
      <c r="D168" s="42" t="n">
        <v>45852</v>
      </c>
      <c r="E168" s="17" t="n">
        <v>1.6005</v>
      </c>
      <c r="F168" s="17" t="n">
        <v>1.7432</v>
      </c>
      <c r="G168" s="17" t="n">
        <v>410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128</v>
      </c>
      <c r="B169" s="16" t="s">
        <v>129</v>
      </c>
      <c r="C169" s="41" t="n">
        <v>45701</v>
      </c>
      <c r="D169" s="42" t="n">
        <v>45852</v>
      </c>
      <c r="E169" s="17" t="n">
        <v>1.6013</v>
      </c>
      <c r="F169" s="17" t="n">
        <v>1.7432</v>
      </c>
      <c r="G169" s="17" t="n">
        <v>30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128</v>
      </c>
      <c r="B170" s="16" t="s">
        <v>129</v>
      </c>
      <c r="C170" s="41" t="n">
        <v>45721</v>
      </c>
      <c r="D170" s="42" t="n">
        <v>45852</v>
      </c>
      <c r="E170" s="17" t="n">
        <v>1.6192</v>
      </c>
      <c r="F170" s="17" t="n">
        <v>1.7432</v>
      </c>
      <c r="G170" s="17" t="n">
        <v>350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128</v>
      </c>
      <c r="B171" s="16" t="s">
        <v>129</v>
      </c>
      <c r="C171" s="41" t="n">
        <v>45727</v>
      </c>
      <c r="D171" s="42" t="n">
        <v>45852</v>
      </c>
      <c r="E171" s="17" t="n">
        <v>1.6248</v>
      </c>
      <c r="F171" s="17" t="n">
        <v>1.7432</v>
      </c>
      <c r="G171" s="17" t="n">
        <v>250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128</v>
      </c>
      <c r="B172" s="16" t="s">
        <v>129</v>
      </c>
      <c r="C172" s="41" t="n">
        <v>45749</v>
      </c>
      <c r="D172" s="42" t="n">
        <v>45852</v>
      </c>
      <c r="E172" s="17" t="n">
        <v>1.6457</v>
      </c>
      <c r="F172" s="17" t="n">
        <v>1.7432</v>
      </c>
      <c r="G172" s="17" t="n">
        <v>250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128</v>
      </c>
      <c r="B173" s="16" t="s">
        <v>129</v>
      </c>
      <c r="C173" s="41" t="n">
        <v>45810</v>
      </c>
      <c r="D173" s="42" t="n">
        <v>45852</v>
      </c>
      <c r="E173" s="17" t="n">
        <v>1.7035</v>
      </c>
      <c r="F173" s="17" t="n">
        <v>1.7432</v>
      </c>
      <c r="G173" s="17" t="n">
        <v>300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128</v>
      </c>
      <c r="B174" s="16" t="s">
        <v>129</v>
      </c>
      <c r="C174" s="41" t="n">
        <v>45849</v>
      </c>
      <c r="D174" s="42" t="n">
        <v>45852</v>
      </c>
      <c r="E174" s="17" t="n">
        <v>1.7424</v>
      </c>
      <c r="F174" s="17" t="n">
        <v>1.7432</v>
      </c>
      <c r="G174" s="17" t="n">
        <v>1313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128</v>
      </c>
      <c r="B175" s="16" t="s">
        <v>129</v>
      </c>
      <c r="C175" s="41" t="n">
        <v>45849</v>
      </c>
      <c r="D175" s="42" t="n">
        <v>45931</v>
      </c>
      <c r="E175" s="17" t="n">
        <v>1.7424</v>
      </c>
      <c r="F175" s="17" t="n">
        <v>1.8109</v>
      </c>
      <c r="G175" s="17" t="n">
        <v>330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128</v>
      </c>
      <c r="B176" s="16" t="s">
        <v>129</v>
      </c>
      <c r="C176" s="41" t="n">
        <v>45849</v>
      </c>
      <c r="D176" s="42" t="n">
        <v>45943</v>
      </c>
      <c r="E176" s="17" t="n">
        <v>1.7424</v>
      </c>
      <c r="F176" s="17" t="n">
        <v>1.821</v>
      </c>
      <c r="G176" s="17" t="n">
        <v>1207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128</v>
      </c>
      <c r="B177" s="16" t="s">
        <v>129</v>
      </c>
      <c r="C177" s="41" t="n">
        <v>45855</v>
      </c>
      <c r="D177" s="42" t="n">
        <v>45943</v>
      </c>
      <c r="E177" s="17" t="n">
        <v>1.746</v>
      </c>
      <c r="F177" s="17" t="n">
        <v>1.821</v>
      </c>
      <c r="G177" s="17" t="n">
        <v>1850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128</v>
      </c>
      <c r="B178" s="16" t="s">
        <v>129</v>
      </c>
      <c r="C178" s="41" t="n">
        <v>45874</v>
      </c>
      <c r="D178" s="42" t="n">
        <v>45943</v>
      </c>
      <c r="E178" s="17" t="n">
        <v>1.7627</v>
      </c>
      <c r="F178" s="17" t="n">
        <v>1.821</v>
      </c>
      <c r="G178" s="17" t="n">
        <v>150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128</v>
      </c>
      <c r="B179" s="16" t="s">
        <v>129</v>
      </c>
      <c r="C179" s="41" t="n">
        <v>45880</v>
      </c>
      <c r="D179" s="42" t="n">
        <v>45943</v>
      </c>
      <c r="E179" s="17" t="n">
        <v>1.7677</v>
      </c>
      <c r="F179" s="17" t="n">
        <v>1.821</v>
      </c>
      <c r="G179" s="17" t="n">
        <v>4100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128</v>
      </c>
      <c r="B180" s="16" t="s">
        <v>129</v>
      </c>
      <c r="C180" s="41" t="n">
        <v>45901</v>
      </c>
      <c r="D180" s="42" t="n">
        <v>45943</v>
      </c>
      <c r="E180" s="17" t="n">
        <v>1.7859</v>
      </c>
      <c r="F180" s="17" t="n">
        <v>1.821</v>
      </c>
      <c r="G180" s="17" t="n">
        <v>213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128</v>
      </c>
      <c r="B181" s="16" t="s">
        <v>129</v>
      </c>
      <c r="C181" s="41" t="n">
        <v>45901</v>
      </c>
      <c r="D181" s="42" t="n">
        <v>45971</v>
      </c>
      <c r="E181" s="17" t="n">
        <v>1.7859</v>
      </c>
      <c r="F181" s="17" t="n">
        <v>1.8435</v>
      </c>
      <c r="G181" s="17" t="n">
        <v>237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128</v>
      </c>
      <c r="B182" s="16" t="s">
        <v>129</v>
      </c>
      <c r="C182" s="41" t="n">
        <v>45902</v>
      </c>
      <c r="D182" s="42" t="n">
        <v>45971</v>
      </c>
      <c r="E182" s="17" t="n">
        <v>1.7868</v>
      </c>
      <c r="F182" s="17" t="n">
        <v>1.8435</v>
      </c>
      <c r="G182" s="17" t="n">
        <v>160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128</v>
      </c>
      <c r="B183" s="16" t="s">
        <v>129</v>
      </c>
      <c r="C183" s="41" t="n">
        <v>45908</v>
      </c>
      <c r="D183" s="42" t="n">
        <v>45971</v>
      </c>
      <c r="E183" s="17" t="n">
        <v>1.792</v>
      </c>
      <c r="F183" s="17" t="n">
        <v>1.8435</v>
      </c>
      <c r="G183" s="17" t="n">
        <v>220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128</v>
      </c>
      <c r="B184" s="16" t="s">
        <v>129</v>
      </c>
      <c r="C184" s="41" t="n">
        <v>45911</v>
      </c>
      <c r="D184" s="42" t="n">
        <v>45971</v>
      </c>
      <c r="E184" s="17" t="n">
        <v>1.7945</v>
      </c>
      <c r="F184" s="17" t="n">
        <v>1.8435</v>
      </c>
      <c r="G184" s="17" t="n">
        <v>20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128</v>
      </c>
      <c r="B185" s="16" t="s">
        <v>129</v>
      </c>
      <c r="C185" s="41" t="n">
        <v>45923</v>
      </c>
      <c r="D185" s="42" t="n">
        <v>45971</v>
      </c>
      <c r="E185" s="17" t="n">
        <v>1.8043</v>
      </c>
      <c r="F185" s="17" t="n">
        <v>1.8435</v>
      </c>
      <c r="G185" s="17" t="n">
        <v>2350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128</v>
      </c>
      <c r="B186" s="16" t="s">
        <v>129</v>
      </c>
      <c r="C186" s="41" t="n">
        <v>45924</v>
      </c>
      <c r="D186" s="42" t="n">
        <v>45971</v>
      </c>
      <c r="E186" s="17" t="n">
        <v>1.8052</v>
      </c>
      <c r="F186" s="17" t="n">
        <v>1.8435</v>
      </c>
      <c r="G186" s="17" t="n">
        <v>400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128</v>
      </c>
      <c r="B187" s="16" t="s">
        <v>129</v>
      </c>
      <c r="C187" s="41" t="n">
        <v>45931</v>
      </c>
      <c r="D187" s="42" t="n">
        <v>45971</v>
      </c>
      <c r="E187" s="17" t="n">
        <v>1.811</v>
      </c>
      <c r="F187" s="17" t="n">
        <v>1.8435</v>
      </c>
      <c r="G187" s="17" t="n">
        <v>100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128</v>
      </c>
      <c r="B188" s="16" t="s">
        <v>129</v>
      </c>
      <c r="C188" s="41" t="n">
        <v>45933</v>
      </c>
      <c r="D188" s="42" t="n">
        <v>45971</v>
      </c>
      <c r="E188" s="17" t="n">
        <v>1.8144</v>
      </c>
      <c r="F188" s="17" t="n">
        <v>1.8435</v>
      </c>
      <c r="G188" s="17" t="n">
        <v>150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128</v>
      </c>
      <c r="B189" s="16" t="s">
        <v>129</v>
      </c>
      <c r="C189" s="41" t="n">
        <v>45936</v>
      </c>
      <c r="D189" s="42" t="n">
        <v>45971</v>
      </c>
      <c r="E189" s="17" t="n">
        <v>1.8152</v>
      </c>
      <c r="F189" s="17" t="n">
        <v>1.8435</v>
      </c>
      <c r="G189" s="17" t="n">
        <v>220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128</v>
      </c>
      <c r="B190" s="16" t="s">
        <v>129</v>
      </c>
      <c r="C190" s="41" t="n">
        <v>45938</v>
      </c>
      <c r="D190" s="42" t="n">
        <v>45971</v>
      </c>
      <c r="E190" s="17" t="n">
        <v>1.8168</v>
      </c>
      <c r="F190" s="17" t="n">
        <v>1.8435</v>
      </c>
      <c r="G190" s="17" t="n">
        <v>260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128</v>
      </c>
      <c r="B191" s="16" t="s">
        <v>129</v>
      </c>
      <c r="C191" s="41" t="n">
        <v>45950</v>
      </c>
      <c r="D191" s="42" t="n">
        <v>45971</v>
      </c>
      <c r="E191" s="17" t="n">
        <v>1.8269</v>
      </c>
      <c r="F191" s="17" t="n">
        <v>1.8435</v>
      </c>
      <c r="G191" s="17" t="n">
        <v>73513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128</v>
      </c>
      <c r="B192" s="16" t="s">
        <v>129</v>
      </c>
      <c r="C192" s="41" t="n">
        <v>45950</v>
      </c>
      <c r="D192" s="42" t="n">
        <v>46015</v>
      </c>
      <c r="E192" s="17" t="n">
        <v>1.8269</v>
      </c>
      <c r="F192" s="17" t="n">
        <v>1.8792</v>
      </c>
      <c r="G192" s="17" t="n">
        <v>57140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128</v>
      </c>
      <c r="B193" s="16" t="s">
        <v>129</v>
      </c>
      <c r="C193" s="41" t="n">
        <v>45950</v>
      </c>
      <c r="D193" s="42" t="n">
        <v>46069</v>
      </c>
      <c r="E193" s="17" t="n">
        <v>1.8269</v>
      </c>
      <c r="F193" s="17" t="n">
        <v>1.9227</v>
      </c>
      <c r="G193" s="17" t="n">
        <v>52009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130</v>
      </c>
      <c r="B194" s="16" t="s">
        <v>131</v>
      </c>
      <c r="C194" s="41" t="n">
        <v>44657</v>
      </c>
      <c r="D194" s="42" t="n">
        <v>44893</v>
      </c>
      <c r="E194" s="17" t="n">
        <v>1.2241</v>
      </c>
      <c r="F194" s="17" t="n">
        <v>0.8766</v>
      </c>
      <c r="G194" s="17" t="n">
        <v>100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130</v>
      </c>
      <c r="B195" s="16" t="s">
        <v>131</v>
      </c>
      <c r="C195" s="41" t="n">
        <v>44658</v>
      </c>
      <c r="D195" s="42" t="n">
        <v>44893</v>
      </c>
      <c r="E195" s="17" t="n">
        <v>1.1851</v>
      </c>
      <c r="F195" s="17" t="n">
        <v>0.8766</v>
      </c>
      <c r="G195" s="17" t="n">
        <v>70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130</v>
      </c>
      <c r="B196" s="16" t="s">
        <v>131</v>
      </c>
      <c r="C196" s="41" t="n">
        <v>44673</v>
      </c>
      <c r="D196" s="42" t="n">
        <v>44893</v>
      </c>
      <c r="E196" s="17" t="n">
        <v>1.1882</v>
      </c>
      <c r="F196" s="17" t="n">
        <v>0.8766</v>
      </c>
      <c r="G196" s="17" t="n">
        <v>90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130</v>
      </c>
      <c r="B197" s="16" t="s">
        <v>131</v>
      </c>
      <c r="C197" s="41" t="n">
        <v>44676</v>
      </c>
      <c r="D197" s="42" t="n">
        <v>44893</v>
      </c>
      <c r="E197" s="17" t="n">
        <v>1.1702</v>
      </c>
      <c r="F197" s="17" t="n">
        <v>0.8766</v>
      </c>
      <c r="G197" s="17" t="n">
        <v>200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130</v>
      </c>
      <c r="B198" s="16" t="s">
        <v>131</v>
      </c>
      <c r="C198" s="41" t="n">
        <v>44677</v>
      </c>
      <c r="D198" s="42" t="n">
        <v>44893</v>
      </c>
      <c r="E198" s="17" t="n">
        <v>1.1401</v>
      </c>
      <c r="F198" s="17" t="n">
        <v>0.8766</v>
      </c>
      <c r="G198" s="17" t="n">
        <v>300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130</v>
      </c>
      <c r="B199" s="16" t="s">
        <v>131</v>
      </c>
      <c r="C199" s="41" t="n">
        <v>44678</v>
      </c>
      <c r="D199" s="42" t="n">
        <v>44893</v>
      </c>
      <c r="E199" s="17" t="n">
        <v>1.1301</v>
      </c>
      <c r="F199" s="17" t="n">
        <v>0.8766</v>
      </c>
      <c r="G199" s="17" t="n">
        <v>200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130</v>
      </c>
      <c r="B200" s="16" t="s">
        <v>131</v>
      </c>
      <c r="C200" s="41" t="n">
        <v>44685</v>
      </c>
      <c r="D200" s="42" t="n">
        <v>44893</v>
      </c>
      <c r="E200" s="17" t="n">
        <v>1.0902</v>
      </c>
      <c r="F200" s="17" t="n">
        <v>0.8766</v>
      </c>
      <c r="G200" s="17" t="n">
        <v>100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130</v>
      </c>
      <c r="B201" s="16" t="s">
        <v>131</v>
      </c>
      <c r="C201" s="41" t="n">
        <v>44686</v>
      </c>
      <c r="D201" s="42" t="n">
        <v>44893</v>
      </c>
      <c r="E201" s="17" t="n">
        <v>1.0602</v>
      </c>
      <c r="F201" s="17" t="n">
        <v>0.8766</v>
      </c>
      <c r="G201" s="17" t="n">
        <v>100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130</v>
      </c>
      <c r="B202" s="16" t="s">
        <v>131</v>
      </c>
      <c r="C202" s="41" t="n">
        <v>44693</v>
      </c>
      <c r="D202" s="42" t="n">
        <v>44893</v>
      </c>
      <c r="E202" s="17" t="n">
        <v>1.048</v>
      </c>
      <c r="F202" s="17" t="n">
        <v>0.8766</v>
      </c>
      <c r="G202" s="17" t="n">
        <v>80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130</v>
      </c>
      <c r="B203" s="16" t="s">
        <v>131</v>
      </c>
      <c r="C203" s="41" t="n">
        <v>44706</v>
      </c>
      <c r="D203" s="42" t="n">
        <v>44893</v>
      </c>
      <c r="E203" s="17" t="n">
        <v>0.9438</v>
      </c>
      <c r="F203" s="17" t="n">
        <v>0.8766</v>
      </c>
      <c r="G203" s="17" t="n">
        <v>600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130</v>
      </c>
      <c r="B204" s="16" t="s">
        <v>131</v>
      </c>
      <c r="C204" s="41" t="n">
        <v>44722</v>
      </c>
      <c r="D204" s="42" t="n">
        <v>44893</v>
      </c>
      <c r="E204" s="17" t="n">
        <v>0.9186</v>
      </c>
      <c r="F204" s="17" t="n">
        <v>0.8766</v>
      </c>
      <c r="G204" s="17" t="n">
        <v>200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130</v>
      </c>
      <c r="B205" s="16" t="s">
        <v>131</v>
      </c>
      <c r="C205" s="41" t="n">
        <v>44726</v>
      </c>
      <c r="D205" s="42" t="n">
        <v>44893</v>
      </c>
      <c r="E205" s="17" t="n">
        <v>0.8997</v>
      </c>
      <c r="F205" s="17" t="n">
        <v>0.8766</v>
      </c>
      <c r="G205" s="17" t="n">
        <v>220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130</v>
      </c>
      <c r="B206" s="16" t="s">
        <v>131</v>
      </c>
      <c r="C206" s="41" t="n">
        <v>44894</v>
      </c>
      <c r="D206" s="42" t="n">
        <v>44930</v>
      </c>
      <c r="E206" s="17" t="n">
        <v>0.8824</v>
      </c>
      <c r="F206" s="17" t="n">
        <v>1.0862</v>
      </c>
      <c r="G206" s="17" t="n">
        <v>300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594</v>
      </c>
      <c r="B207" s="16" t="s">
        <v>919</v>
      </c>
      <c r="C207" s="41" t="n">
        <v>44659</v>
      </c>
      <c r="D207" s="42" t="n">
        <v>44923</v>
      </c>
      <c r="E207" s="17" t="n">
        <v>36.179</v>
      </c>
      <c r="F207" s="17" t="n">
        <v>30.4405</v>
      </c>
      <c r="G207" s="17" t="n">
        <v>20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595</v>
      </c>
      <c r="B208" s="16" t="s">
        <v>892</v>
      </c>
      <c r="C208" s="41" t="n">
        <v>44659</v>
      </c>
      <c r="D208" s="42" t="n">
        <v>44960</v>
      </c>
      <c r="E208" s="17" t="n">
        <v>870.73</v>
      </c>
      <c r="F208" s="17" t="n">
        <v>1002.39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92</v>
      </c>
      <c r="B209" s="16" t="s">
        <v>93</v>
      </c>
      <c r="C209" s="41" t="n">
        <v>44672</v>
      </c>
      <c r="D209" s="42" t="n">
        <v>44789</v>
      </c>
      <c r="E209" s="17" t="n">
        <v>890.54</v>
      </c>
      <c r="F209" s="17" t="n">
        <v>1157.3</v>
      </c>
      <c r="G209" s="17" t="n">
        <v>1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54</v>
      </c>
      <c r="B210" s="16" t="s">
        <v>55</v>
      </c>
      <c r="C210" s="41" t="n">
        <v>44672</v>
      </c>
      <c r="D210" s="42" t="n">
        <v>44697</v>
      </c>
      <c r="E210" s="17" t="n">
        <v>3990.89</v>
      </c>
      <c r="F210" s="17" t="n">
        <v>4575.26</v>
      </c>
      <c r="G210" s="17" t="n">
        <v>1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82</v>
      </c>
      <c r="B211" s="16" t="s">
        <v>83</v>
      </c>
      <c r="C211" s="41" t="n">
        <v>44707</v>
      </c>
      <c r="D211" s="42" t="n">
        <v>44726</v>
      </c>
      <c r="E211" s="17" t="n">
        <v>1.2357</v>
      </c>
      <c r="F211" s="17" t="n">
        <v>1.5171</v>
      </c>
      <c r="G211" s="17" t="n">
        <v>1000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102</v>
      </c>
      <c r="B212" s="16" t="s">
        <v>103</v>
      </c>
      <c r="C212" s="41" t="n">
        <v>44714</v>
      </c>
      <c r="D212" s="42" t="n">
        <v>44761</v>
      </c>
      <c r="E212" s="17" t="n">
        <v>0.093</v>
      </c>
      <c r="F212" s="17" t="n">
        <v>0.1028</v>
      </c>
      <c r="G212" s="17" t="n">
        <v>10000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596</v>
      </c>
      <c r="B213" s="16" t="s">
        <v>920</v>
      </c>
      <c r="C213" s="41" t="n">
        <v>44740</v>
      </c>
      <c r="D213" s="42" t="n">
        <v>45938</v>
      </c>
      <c r="E213" s="17" t="n">
        <v>795.08</v>
      </c>
      <c r="F213" s="17" t="n">
        <v>495.6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597</v>
      </c>
      <c r="B214" s="16" t="s">
        <v>921</v>
      </c>
      <c r="C214" s="41" t="n">
        <v>44761</v>
      </c>
      <c r="D214" s="42" t="n">
        <v>44809</v>
      </c>
      <c r="E214" s="17" t="n">
        <v>35.201</v>
      </c>
      <c r="F214" s="17" t="n">
        <v>42.715</v>
      </c>
      <c r="G214" s="17" t="n">
        <v>10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597</v>
      </c>
      <c r="B215" s="16" t="s">
        <v>921</v>
      </c>
      <c r="C215" s="41" t="n">
        <v>44875</v>
      </c>
      <c r="D215" s="42" t="n">
        <v>44950</v>
      </c>
      <c r="E215" s="17" t="n">
        <v>38.021</v>
      </c>
      <c r="F215" s="17" t="n">
        <v>42.587</v>
      </c>
      <c r="G215" s="17" t="n">
        <v>10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598</v>
      </c>
      <c r="B216" s="16" t="s">
        <v>922</v>
      </c>
      <c r="C216" s="41" t="n">
        <v>44767</v>
      </c>
      <c r="D216" s="42" t="n">
        <v>44767</v>
      </c>
      <c r="E216" s="17" t="n">
        <v>97.66</v>
      </c>
      <c r="F216" s="17" t="n">
        <v>99.74</v>
      </c>
      <c r="G216" s="17" t="n">
        <v>2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598</v>
      </c>
      <c r="B217" s="16" t="s">
        <v>922</v>
      </c>
      <c r="C217" s="41" t="n">
        <v>45435</v>
      </c>
      <c r="D217" s="42" t="n">
        <v>45461</v>
      </c>
      <c r="E217" s="17" t="n">
        <v>116.658</v>
      </c>
      <c r="F217" s="17" t="n">
        <v>131.834</v>
      </c>
      <c r="G217" s="17" t="n">
        <v>5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598</v>
      </c>
      <c r="B218" s="16" t="s">
        <v>922</v>
      </c>
      <c r="C218" s="41" t="n">
        <v>45492</v>
      </c>
      <c r="D218" s="42" t="n">
        <v>45499</v>
      </c>
      <c r="E218" s="17" t="n">
        <v>117.76</v>
      </c>
      <c r="F218" s="17" t="n">
        <v>135.89</v>
      </c>
      <c r="G218" s="17" t="n">
        <v>5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598</v>
      </c>
      <c r="B219" s="16" t="s">
        <v>922</v>
      </c>
      <c r="C219" s="41" t="n">
        <v>45532</v>
      </c>
      <c r="D219" s="42" t="n">
        <v>45561</v>
      </c>
      <c r="E219" s="17" t="n">
        <v>113.39</v>
      </c>
      <c r="F219" s="17" t="n">
        <v>129.398</v>
      </c>
      <c r="G219" s="17" t="n">
        <v>5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598</v>
      </c>
      <c r="B220" s="16" t="s">
        <v>922</v>
      </c>
      <c r="C220" s="41" t="n">
        <v>45551</v>
      </c>
      <c r="D220" s="42" t="n">
        <v>45565</v>
      </c>
      <c r="E220" s="17" t="n">
        <v>108.7533</v>
      </c>
      <c r="F220" s="17" t="n">
        <v>134.2933</v>
      </c>
      <c r="G220" s="17" t="n">
        <v>3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598</v>
      </c>
      <c r="B221" s="16" t="s">
        <v>922</v>
      </c>
      <c r="C221" s="41" t="n">
        <v>45593</v>
      </c>
      <c r="D221" s="42" t="n">
        <v>45602</v>
      </c>
      <c r="E221" s="17" t="n">
        <v>109.7549</v>
      </c>
      <c r="F221" s="17" t="n">
        <v>130.6953</v>
      </c>
      <c r="G221" s="17" t="n">
        <v>90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49</v>
      </c>
      <c r="B222" s="16" t="s">
        <v>50</v>
      </c>
      <c r="C222" s="41" t="n">
        <v>44776</v>
      </c>
      <c r="D222" s="42" t="n">
        <v>44866</v>
      </c>
      <c r="E222" s="17" t="n">
        <v>383.93</v>
      </c>
      <c r="F222" s="17" t="n">
        <v>434.1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78</v>
      </c>
      <c r="B223" s="16" t="s">
        <v>79</v>
      </c>
      <c r="C223" s="41" t="n">
        <v>44791</v>
      </c>
      <c r="D223" s="42" t="n">
        <v>44792</v>
      </c>
      <c r="E223" s="17" t="n">
        <v>596.86</v>
      </c>
      <c r="F223" s="17" t="n">
        <v>614.12</v>
      </c>
      <c r="G223" s="17" t="n">
        <v>1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78</v>
      </c>
      <c r="B224" s="16" t="s">
        <v>79</v>
      </c>
      <c r="C224" s="41" t="n">
        <v>44792</v>
      </c>
      <c r="D224" s="42" t="n">
        <v>44803</v>
      </c>
      <c r="E224" s="17" t="n">
        <v>591.36</v>
      </c>
      <c r="F224" s="17" t="n">
        <v>615.12</v>
      </c>
      <c r="G224" s="17" t="n">
        <v>1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600</v>
      </c>
      <c r="B225" s="16" t="s">
        <v>923</v>
      </c>
      <c r="C225" s="41" t="n">
        <v>44795</v>
      </c>
      <c r="D225" s="42" t="n">
        <v>44797</v>
      </c>
      <c r="E225" s="17" t="n">
        <v>223.035</v>
      </c>
      <c r="F225" s="17" t="n">
        <v>228.765</v>
      </c>
      <c r="G225" s="17" t="n">
        <v>2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600</v>
      </c>
      <c r="B226" s="16" t="s">
        <v>923</v>
      </c>
      <c r="C226" s="41" t="n">
        <v>44803</v>
      </c>
      <c r="D226" s="42" t="n">
        <v>45931</v>
      </c>
      <c r="E226" s="17" t="n">
        <v>222.135</v>
      </c>
      <c r="F226" s="17" t="n">
        <v>66.545</v>
      </c>
      <c r="G226" s="17" t="n">
        <v>2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601</v>
      </c>
      <c r="B227" s="16" t="s">
        <v>924</v>
      </c>
      <c r="C227" s="41" t="n">
        <v>44893</v>
      </c>
      <c r="D227" s="42" t="n">
        <v>44894</v>
      </c>
      <c r="E227" s="17" t="n">
        <v>132.6665</v>
      </c>
      <c r="F227" s="17" t="n">
        <v>133.933</v>
      </c>
      <c r="G227" s="17" t="n">
        <v>10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601</v>
      </c>
      <c r="B228" s="16" t="s">
        <v>924</v>
      </c>
      <c r="C228" s="41" t="n">
        <v>44893</v>
      </c>
      <c r="D228" s="42" t="n">
        <v>44895</v>
      </c>
      <c r="E228" s="17" t="n">
        <v>132.6665</v>
      </c>
      <c r="F228" s="17" t="n">
        <v>135.192</v>
      </c>
      <c r="G228" s="17" t="n">
        <v>10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28</v>
      </c>
      <c r="B229" s="16" t="s">
        <v>29</v>
      </c>
      <c r="C229" s="41" t="n">
        <v>44937</v>
      </c>
      <c r="D229" s="42" t="n">
        <v>45002</v>
      </c>
      <c r="E229" s="17" t="n">
        <v>146.187</v>
      </c>
      <c r="F229" s="17" t="n">
        <v>181.225</v>
      </c>
      <c r="G229" s="17" t="n">
        <v>10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750</v>
      </c>
      <c r="B230" s="16" t="s">
        <v>750</v>
      </c>
      <c r="C230" s="41" t="n">
        <v>45272</v>
      </c>
      <c r="D230" s="42" t="n">
        <v>45573</v>
      </c>
      <c r="E230" s="17" t="n">
        <v>12.5858</v>
      </c>
      <c r="F230" s="17" t="n">
        <v>13.5209</v>
      </c>
      <c r="G230" s="17" t="n">
        <v>423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750</v>
      </c>
      <c r="B231" s="16" t="s">
        <v>750</v>
      </c>
      <c r="C231" s="41" t="n">
        <v>45272</v>
      </c>
      <c r="D231" s="42" t="n">
        <v>45622</v>
      </c>
      <c r="E231" s="17" t="n">
        <v>12.5858</v>
      </c>
      <c r="F231" s="17" t="n">
        <v>14.396</v>
      </c>
      <c r="G231" s="17" t="n">
        <v>500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602</v>
      </c>
      <c r="B232" s="16" t="s">
        <v>894</v>
      </c>
      <c r="C232" s="41" t="n">
        <v>45287</v>
      </c>
      <c r="D232" s="42" t="n">
        <v>45634</v>
      </c>
      <c r="E232" s="17" t="n">
        <v>1011.38</v>
      </c>
      <c r="F232" s="17" t="n">
        <v>1000</v>
      </c>
      <c r="G232" s="17" t="n">
        <v>3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603</v>
      </c>
      <c r="B233" s="16" t="s">
        <v>898</v>
      </c>
      <c r="C233" s="41" t="n">
        <v>45287</v>
      </c>
      <c r="D233" s="42" t="n">
        <v>46013</v>
      </c>
      <c r="E233" s="17" t="n">
        <v>984.175</v>
      </c>
      <c r="F233" s="17" t="n">
        <v>1000</v>
      </c>
      <c r="G233" s="17" t="n">
        <v>2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604</v>
      </c>
      <c r="B234" s="16" t="s">
        <v>895</v>
      </c>
      <c r="C234" s="41" t="n">
        <v>45287</v>
      </c>
      <c r="D234" s="42" t="n">
        <v>45923</v>
      </c>
      <c r="E234" s="17" t="n">
        <v>998.53</v>
      </c>
      <c r="F234" s="17" t="n">
        <v>1076.6625</v>
      </c>
      <c r="G234" s="17" t="n">
        <v>2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604</v>
      </c>
      <c r="B235" s="16" t="s">
        <v>895</v>
      </c>
      <c r="C235" s="41" t="n">
        <v>45509</v>
      </c>
      <c r="D235" s="42" t="n">
        <v>45923</v>
      </c>
      <c r="E235" s="17" t="n">
        <v>951.535</v>
      </c>
      <c r="F235" s="17" t="n">
        <v>1076.6625</v>
      </c>
      <c r="G235" s="17" t="n">
        <v>2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605</v>
      </c>
      <c r="B236" s="16" t="s">
        <v>893</v>
      </c>
      <c r="C236" s="41" t="n">
        <v>45287</v>
      </c>
      <c r="D236" s="42" t="n">
        <v>45663</v>
      </c>
      <c r="E236" s="17" t="n">
        <v>1045.75</v>
      </c>
      <c r="F236" s="17" t="n">
        <v>1000</v>
      </c>
      <c r="G236" s="17" t="n">
        <v>2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606</v>
      </c>
      <c r="B237" s="16" t="s">
        <v>897</v>
      </c>
      <c r="C237" s="41" t="n">
        <v>45307</v>
      </c>
      <c r="D237" s="42" t="n">
        <v>45546</v>
      </c>
      <c r="E237" s="17" t="n">
        <v>980.1067</v>
      </c>
      <c r="F237" s="17" t="n">
        <v>1000</v>
      </c>
      <c r="G237" s="17" t="n">
        <v>3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607</v>
      </c>
      <c r="B238" s="16" t="s">
        <v>899</v>
      </c>
      <c r="C238" s="41" t="n">
        <v>45307</v>
      </c>
      <c r="D238" s="42" t="n">
        <v>45923</v>
      </c>
      <c r="E238" s="17" t="n">
        <v>980.345</v>
      </c>
      <c r="F238" s="17" t="n">
        <v>340</v>
      </c>
      <c r="G238" s="17" t="n">
        <v>2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608</v>
      </c>
      <c r="B239" s="16" t="s">
        <v>896</v>
      </c>
      <c r="C239" s="41" t="n">
        <v>45307</v>
      </c>
      <c r="D239" s="42" t="n">
        <v>45901</v>
      </c>
      <c r="E239" s="17" t="n">
        <v>1033.59</v>
      </c>
      <c r="F239" s="17" t="n">
        <v>122.23</v>
      </c>
      <c r="G239" s="17" t="n">
        <v>2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240</v>
      </c>
      <c r="B240" s="16" t="s">
        <v>241</v>
      </c>
      <c r="C240" s="41" t="n">
        <v>45321</v>
      </c>
      <c r="D240" s="42" t="n">
        <v>45781</v>
      </c>
      <c r="E240" s="17" t="n">
        <v>952.875</v>
      </c>
      <c r="F240" s="17" t="n">
        <v>1000</v>
      </c>
      <c r="G240" s="17" t="n">
        <v>2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126</v>
      </c>
      <c r="B241" s="16" t="s">
        <v>127</v>
      </c>
      <c r="C241" s="41" t="n">
        <v>45324</v>
      </c>
      <c r="D241" s="42" t="n">
        <v>45573</v>
      </c>
      <c r="E241" s="17" t="n">
        <v>134.6929</v>
      </c>
      <c r="F241" s="17" t="n">
        <v>153.813</v>
      </c>
      <c r="G241" s="17" t="n">
        <v>100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609</v>
      </c>
      <c r="B242" s="16" t="s">
        <v>900</v>
      </c>
      <c r="C242" s="41" t="n">
        <v>45327</v>
      </c>
      <c r="D242" s="42" t="n">
        <v>45972</v>
      </c>
      <c r="E242" s="17" t="n">
        <v>928.653</v>
      </c>
      <c r="F242" s="17" t="n">
        <v>1000</v>
      </c>
      <c r="G242" s="17" t="n">
        <v>10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86</v>
      </c>
      <c r="B243" s="16" t="s">
        <v>87</v>
      </c>
      <c r="C243" s="41" t="n">
        <v>45380</v>
      </c>
      <c r="D243" s="42" t="n">
        <v>45380</v>
      </c>
      <c r="E243" s="17" t="n">
        <v>875.438</v>
      </c>
      <c r="F243" s="17" t="n">
        <v>993.204</v>
      </c>
      <c r="G243" s="17" t="n">
        <v>5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610</v>
      </c>
      <c r="B244" s="16" t="s">
        <v>798</v>
      </c>
      <c r="C244" s="41" t="n">
        <v>45394</v>
      </c>
      <c r="D244" s="42" t="n">
        <v>45394</v>
      </c>
      <c r="E244" s="17" t="n">
        <v>235.118</v>
      </c>
      <c r="F244" s="17" t="n">
        <v>238.46</v>
      </c>
      <c r="G244" s="17" t="n">
        <v>10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611</v>
      </c>
      <c r="B245" s="16" t="s">
        <v>925</v>
      </c>
      <c r="C245" s="41" t="n">
        <v>45408</v>
      </c>
      <c r="D245" s="42" t="n">
        <v>45408</v>
      </c>
      <c r="E245" s="17" t="n">
        <v>2501.25</v>
      </c>
      <c r="F245" s="17" t="n">
        <v>2664.67</v>
      </c>
      <c r="G245" s="17" t="n">
        <v>1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612</v>
      </c>
      <c r="B246" s="16" t="s">
        <v>889</v>
      </c>
      <c r="C246" s="41" t="n">
        <v>45442</v>
      </c>
      <c r="D246" s="42" t="n">
        <v>46057</v>
      </c>
      <c r="E246" s="17" t="n">
        <v>0.2237</v>
      </c>
      <c r="F246" s="17" t="n">
        <v>0.1277</v>
      </c>
      <c r="G246" s="17" t="n">
        <v>22000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613</v>
      </c>
      <c r="B247" s="16" t="s">
        <v>890</v>
      </c>
      <c r="C247" s="41" t="n">
        <v>45467</v>
      </c>
      <c r="D247" s="42" t="n">
        <v>45901</v>
      </c>
      <c r="E247" s="17" t="n">
        <v>1192.504</v>
      </c>
      <c r="F247" s="17" t="n">
        <v>2160.07</v>
      </c>
      <c r="G247" s="17" t="n">
        <v>10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114</v>
      </c>
      <c r="B248" s="16" t="s">
        <v>115</v>
      </c>
      <c r="C248" s="41" t="n">
        <v>45506</v>
      </c>
      <c r="D248" s="42" t="n">
        <v>45517</v>
      </c>
      <c r="E248" s="17" t="n">
        <v>228.155</v>
      </c>
      <c r="F248" s="17" t="n">
        <v>263.85</v>
      </c>
      <c r="G248" s="17" t="n">
        <v>2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614</v>
      </c>
      <c r="B249" s="16" t="s">
        <v>926</v>
      </c>
      <c r="C249" s="41" t="n">
        <v>45537</v>
      </c>
      <c r="D249" s="42" t="n">
        <v>45755</v>
      </c>
      <c r="E249" s="17" t="n">
        <v>327.612</v>
      </c>
      <c r="F249" s="17" t="n">
        <v>404.676</v>
      </c>
      <c r="G249" s="17" t="n">
        <v>5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615</v>
      </c>
      <c r="B250" s="16" t="s">
        <v>901</v>
      </c>
      <c r="C250" s="41" t="n">
        <v>45604</v>
      </c>
      <c r="D250" s="42" t="n">
        <v>45848</v>
      </c>
      <c r="E250" s="17" t="n">
        <v>864.784</v>
      </c>
      <c r="F250" s="17" t="n">
        <v>1000</v>
      </c>
      <c r="G250" s="17" t="n">
        <v>5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616</v>
      </c>
      <c r="B251" s="16" t="s">
        <v>927</v>
      </c>
      <c r="C251" s="41" t="n">
        <v>45685</v>
      </c>
      <c r="D251" s="42" t="n">
        <v>45695</v>
      </c>
      <c r="E251" s="17" t="n">
        <v>3972.67</v>
      </c>
      <c r="F251" s="17" t="n">
        <v>4230.11</v>
      </c>
      <c r="G251" s="17" t="n">
        <v>1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617</v>
      </c>
      <c r="B252" s="16" t="s">
        <v>928</v>
      </c>
      <c r="C252" s="41" t="n">
        <v>45695</v>
      </c>
      <c r="D252" s="42" t="n">
        <v>45700</v>
      </c>
      <c r="E252" s="17" t="n">
        <v>64.121</v>
      </c>
      <c r="F252" s="17" t="n">
        <v>66.747</v>
      </c>
      <c r="G252" s="17" t="n">
        <v>10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618</v>
      </c>
      <c r="B253" s="16" t="s">
        <v>929</v>
      </c>
      <c r="C253" s="41" t="n">
        <v>45943</v>
      </c>
      <c r="D253" s="42" t="n">
        <v>46001</v>
      </c>
      <c r="E253" s="17" t="n">
        <v>2445.9533</v>
      </c>
      <c r="F253" s="17" t="n">
        <v>2894.1833</v>
      </c>
      <c r="G253" s="17" t="n">
        <v>3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6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247</v>
      </c>
      <c r="B1" s="18" t="s">
        <v>9</v>
      </c>
      <c r="C1" s="18" t="s">
        <v>248</v>
      </c>
      <c r="D1" s="18" t="s">
        <v>249</v>
      </c>
      <c r="E1" s="18" t="s">
        <v>250</v>
      </c>
      <c r="F1" s="18" t="s">
        <v>251</v>
      </c>
      <c r="G1" s="18" t="s">
        <v>252</v>
      </c>
      <c r="H1" s="18" t="s">
        <v>253</v>
      </c>
      <c r="I1" s="18" t="s">
        <v>254</v>
      </c>
    </row>
    <row collapsed="false" customFormat="false" customHeight="false" hidden="false" ht="12.1" outlineLevel="0" r="2">
      <c r="A2" s="13" t="n">
        <v>44628</v>
      </c>
      <c r="B2" s="6" t="n">
        <v>2600</v>
      </c>
      <c r="C2" s="6" t="n">
        <v>2600</v>
      </c>
      <c r="D2" s="16" t="s">
        <v>255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44643</v>
      </c>
      <c r="B3" s="6" t="n">
        <v>200</v>
      </c>
      <c r="C3" s="6" t="n">
        <v>200</v>
      </c>
      <c r="D3" s="16" t="s">
        <v>255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44645</v>
      </c>
      <c r="B4" s="6" t="n">
        <v>777</v>
      </c>
      <c r="C4" s="6" t="n">
        <v>777</v>
      </c>
      <c r="D4" s="16" t="s">
        <v>255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44648</v>
      </c>
      <c r="B5" s="6" t="n">
        <v>400</v>
      </c>
      <c r="C5" s="6" t="n">
        <v>400</v>
      </c>
      <c r="D5" s="16" t="s">
        <v>255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44650</v>
      </c>
      <c r="B6" s="6" t="n">
        <v>1660</v>
      </c>
      <c r="C6" s="6" t="n">
        <v>1660</v>
      </c>
      <c r="D6" s="16" t="s">
        <v>255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44651</v>
      </c>
      <c r="B7" s="6" t="n">
        <v>40</v>
      </c>
      <c r="C7" s="6" t="n">
        <v>40</v>
      </c>
      <c r="D7" s="16" t="s">
        <v>255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44655</v>
      </c>
      <c r="B8" s="6" t="n">
        <v>1400</v>
      </c>
      <c r="C8" s="6" t="n">
        <v>1400</v>
      </c>
      <c r="D8" s="16" t="s">
        <v>255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44659</v>
      </c>
      <c r="B9" s="6" t="n">
        <v>885</v>
      </c>
      <c r="C9" s="6" t="n">
        <v>885</v>
      </c>
      <c r="D9" s="16" t="s">
        <v>255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44662</v>
      </c>
      <c r="B10" s="6" t="n">
        <v>200</v>
      </c>
      <c r="C10" s="6" t="n">
        <v>200</v>
      </c>
      <c r="D10" s="16" t="s">
        <v>255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44669</v>
      </c>
      <c r="B11" s="6" t="n">
        <v>1000</v>
      </c>
      <c r="C11" s="6" t="n">
        <v>1000</v>
      </c>
      <c r="D11" s="16" t="s">
        <v>255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44670</v>
      </c>
      <c r="B12" s="6" t="n">
        <v>3500</v>
      </c>
      <c r="C12" s="6" t="n">
        <v>3500</v>
      </c>
      <c r="D12" s="16" t="s">
        <v>255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44671</v>
      </c>
      <c r="B13" s="6" t="n">
        <v>1000</v>
      </c>
      <c r="C13" s="6" t="n">
        <v>1000</v>
      </c>
      <c r="D13" s="16" t="s">
        <v>255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44672</v>
      </c>
      <c r="B14" s="6" t="n">
        <v>3500</v>
      </c>
      <c r="C14" s="6" t="n">
        <v>3500</v>
      </c>
      <c r="D14" s="16" t="s">
        <v>255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44673</v>
      </c>
      <c r="B15" s="6" t="n">
        <v>5000</v>
      </c>
      <c r="C15" s="6" t="n">
        <v>5000</v>
      </c>
      <c r="D15" s="16" t="s">
        <v>255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44685</v>
      </c>
      <c r="B16" s="6" t="n">
        <v>1300</v>
      </c>
      <c r="C16" s="6" t="n">
        <v>1300</v>
      </c>
      <c r="D16" s="16" t="s">
        <v>255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44687</v>
      </c>
      <c r="B17" s="6" t="n">
        <v>113</v>
      </c>
      <c r="C17" s="6" t="n">
        <v>113</v>
      </c>
      <c r="D17" s="16" t="s">
        <v>255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44689</v>
      </c>
      <c r="B18" s="6" t="n">
        <v>-12.4</v>
      </c>
      <c r="C18" s="6" t="n">
        <v>-12.4</v>
      </c>
      <c r="D18" s="16" t="s">
        <v>256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44694</v>
      </c>
      <c r="B19" s="6" t="n">
        <v>78</v>
      </c>
      <c r="C19" s="6" t="n">
        <v>78</v>
      </c>
      <c r="D19" s="16" t="s">
        <v>255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44705</v>
      </c>
      <c r="B20" s="6" t="n">
        <v>1318</v>
      </c>
      <c r="C20" s="6" t="n">
        <v>1318</v>
      </c>
      <c r="D20" s="16" t="s">
        <v>255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44721</v>
      </c>
      <c r="B21" s="6" t="n">
        <v>41</v>
      </c>
      <c r="C21" s="6" t="n">
        <v>41</v>
      </c>
      <c r="D21" s="16" t="s">
        <v>255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44722</v>
      </c>
      <c r="B22" s="6" t="n">
        <v>-20.66</v>
      </c>
      <c r="C22" s="6" t="n">
        <v>-20.66</v>
      </c>
      <c r="D22" s="16" t="s">
        <v>257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44739</v>
      </c>
      <c r="B23" s="6" t="n">
        <v>143</v>
      </c>
      <c r="C23" s="6" t="n">
        <v>143</v>
      </c>
      <c r="D23" s="16" t="s">
        <v>255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44740</v>
      </c>
      <c r="B24" s="6" t="n">
        <v>79.72</v>
      </c>
      <c r="C24" s="6" t="n">
        <v>79.72</v>
      </c>
      <c r="D24" s="16" t="s">
        <v>255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44743</v>
      </c>
      <c r="B25" s="6" t="n">
        <v>99.24</v>
      </c>
      <c r="C25" s="6" t="n">
        <v>99.24</v>
      </c>
      <c r="D25" s="16" t="s">
        <v>255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44746</v>
      </c>
      <c r="B26" s="6" t="n">
        <v>1200</v>
      </c>
      <c r="C26" s="6" t="n">
        <v>1200</v>
      </c>
      <c r="D26" s="16" t="s">
        <v>255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44748</v>
      </c>
      <c r="B27" s="6" t="n">
        <v>56.88</v>
      </c>
      <c r="C27" s="6" t="n">
        <v>56.88</v>
      </c>
      <c r="D27" s="16" t="s">
        <v>255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44753</v>
      </c>
      <c r="B28" s="6" t="n">
        <v>-20.63</v>
      </c>
      <c r="C28" s="6" t="n">
        <v>-20.63</v>
      </c>
      <c r="D28" s="16" t="s">
        <v>258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44756</v>
      </c>
      <c r="B29" s="6" t="n">
        <v>680</v>
      </c>
      <c r="C29" s="6" t="n">
        <v>680</v>
      </c>
      <c r="D29" s="16" t="s">
        <v>255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44757</v>
      </c>
      <c r="B30" s="6" t="n">
        <v>1000</v>
      </c>
      <c r="C30" s="6" t="n">
        <v>1000</v>
      </c>
      <c r="D30" s="16" t="s">
        <v>255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44762</v>
      </c>
      <c r="B31" s="6" t="n">
        <v>-412</v>
      </c>
      <c r="C31" s="6" t="n">
        <v>-412</v>
      </c>
      <c r="D31" s="16" t="s">
        <v>259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44788</v>
      </c>
      <c r="B32" s="6" t="n">
        <v>200</v>
      </c>
      <c r="C32" s="6" t="n">
        <v>200</v>
      </c>
      <c r="D32" s="16" t="s">
        <v>255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44795</v>
      </c>
      <c r="B33" s="6" t="n">
        <v>800</v>
      </c>
      <c r="C33" s="6" t="n">
        <v>800</v>
      </c>
      <c r="D33" s="16" t="s">
        <v>255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44806</v>
      </c>
      <c r="B34" s="6" t="n">
        <v>150</v>
      </c>
      <c r="C34" s="6" t="n">
        <v>150</v>
      </c>
      <c r="D34" s="16" t="s">
        <v>255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44825</v>
      </c>
      <c r="B35" s="6" t="n">
        <v>-22.93</v>
      </c>
      <c r="C35" s="6" t="n">
        <v>-22.93</v>
      </c>
      <c r="D35" s="16" t="s">
        <v>260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44845</v>
      </c>
      <c r="B36" s="6" t="n">
        <v>-444.3</v>
      </c>
      <c r="C36" s="6" t="n">
        <v>-444.3</v>
      </c>
      <c r="D36" s="16" t="s">
        <v>261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44854</v>
      </c>
      <c r="B37" s="6" t="n">
        <v>-21.2</v>
      </c>
      <c r="C37" s="6" t="n">
        <v>-21.2</v>
      </c>
      <c r="D37" s="16" t="s">
        <v>262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44893</v>
      </c>
      <c r="B38" s="6" t="n">
        <v>310</v>
      </c>
      <c r="C38" s="6" t="n">
        <v>310</v>
      </c>
      <c r="D38" s="16" t="s">
        <v>255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44916</v>
      </c>
      <c r="B39" s="6" t="n">
        <v>-223</v>
      </c>
      <c r="C39" s="6" t="n">
        <v>-223</v>
      </c>
      <c r="D39" s="16" t="s">
        <v>263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44916</v>
      </c>
      <c r="B40" s="6" t="n">
        <v>-467</v>
      </c>
      <c r="C40" s="6" t="n">
        <v>-467</v>
      </c>
      <c r="D40" s="16" t="s">
        <v>264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44938</v>
      </c>
      <c r="B41" s="6" t="n">
        <v>-35.78</v>
      </c>
      <c r="C41" s="6" t="n">
        <v>-35.78</v>
      </c>
      <c r="D41" s="16" t="s">
        <v>265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45057</v>
      </c>
      <c r="B42" s="6" t="n">
        <v>-217</v>
      </c>
      <c r="C42" s="6" t="n">
        <v>-217</v>
      </c>
      <c r="D42" s="16" t="s">
        <v>266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45076</v>
      </c>
      <c r="B43" s="6" t="n">
        <v>-49.73</v>
      </c>
      <c r="C43" s="6" t="n">
        <v>-49.73</v>
      </c>
      <c r="D43" s="16" t="s">
        <v>267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45082</v>
      </c>
      <c r="B44" s="6" t="n">
        <v>-381</v>
      </c>
      <c r="C44" s="6" t="n">
        <v>-381</v>
      </c>
      <c r="D44" s="16" t="s">
        <v>268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45089</v>
      </c>
      <c r="B45" s="6" t="n">
        <v>-26.92</v>
      </c>
      <c r="C45" s="6" t="n">
        <v>-26.92</v>
      </c>
      <c r="D45" s="16" t="s">
        <v>269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45093</v>
      </c>
      <c r="B46" s="6" t="n">
        <v>-42.4</v>
      </c>
      <c r="C46" s="6" t="n">
        <v>-42.4</v>
      </c>
      <c r="D46" s="16" t="s">
        <v>270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45114</v>
      </c>
      <c r="B47" s="6" t="n">
        <v>-68</v>
      </c>
      <c r="C47" s="6" t="n">
        <v>-68</v>
      </c>
      <c r="D47" s="16" t="s">
        <v>271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45118</v>
      </c>
      <c r="B48" s="6" t="n">
        <v>-35</v>
      </c>
      <c r="C48" s="6" t="n">
        <v>-35</v>
      </c>
      <c r="D48" s="16" t="s">
        <v>272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45118</v>
      </c>
      <c r="B49" s="6" t="n">
        <v>-30.94</v>
      </c>
      <c r="C49" s="6" t="n">
        <v>-30.94</v>
      </c>
      <c r="D49" s="16" t="s">
        <v>273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45126</v>
      </c>
      <c r="B50" s="6" t="n">
        <v>-71</v>
      </c>
      <c r="C50" s="6" t="n">
        <v>-71</v>
      </c>
      <c r="D50" s="16" t="s">
        <v>274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45127</v>
      </c>
      <c r="B51" s="6" t="n">
        <v>-70</v>
      </c>
      <c r="C51" s="6" t="n">
        <v>-70</v>
      </c>
      <c r="D51" s="16" t="s">
        <v>275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45191</v>
      </c>
      <c r="B52" s="6" t="n">
        <v>-56</v>
      </c>
      <c r="C52" s="6" t="n">
        <v>-56</v>
      </c>
      <c r="D52" s="16" t="s">
        <v>276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45217</v>
      </c>
      <c r="B53" s="6" t="n">
        <v>-130.8</v>
      </c>
      <c r="C53" s="6" t="n">
        <v>-130.8</v>
      </c>
      <c r="D53" s="16" t="s">
        <v>277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45263</v>
      </c>
      <c r="B54" s="6" t="n">
        <v>-35</v>
      </c>
      <c r="C54" s="6" t="n">
        <v>-35</v>
      </c>
      <c r="D54" s="16" t="s">
        <v>278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45265</v>
      </c>
      <c r="B55" s="6" t="n">
        <v>14898.95</v>
      </c>
      <c r="C55" s="6" t="n">
        <v>14898.95</v>
      </c>
      <c r="D55" s="16" t="s">
        <v>255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45267</v>
      </c>
      <c r="B56" s="6" t="n">
        <v>35</v>
      </c>
      <c r="C56" s="6" t="n">
        <v>35</v>
      </c>
      <c r="D56" s="16" t="s">
        <v>255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45269</v>
      </c>
      <c r="B57" s="6" t="n">
        <v>-66</v>
      </c>
      <c r="C57" s="6" t="n">
        <v>-66</v>
      </c>
      <c r="D57" s="16" t="s">
        <v>279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45271</v>
      </c>
      <c r="B58" s="6" t="n">
        <v>-26.92</v>
      </c>
      <c r="C58" s="6" t="n">
        <v>-26.92</v>
      </c>
      <c r="D58" s="16" t="s">
        <v>269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45271</v>
      </c>
      <c r="B59" s="6" t="n">
        <v>2230.92</v>
      </c>
      <c r="C59" s="6" t="n">
        <v>2230.92</v>
      </c>
      <c r="D59" s="16" t="s">
        <v>255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45272</v>
      </c>
      <c r="B60" s="6" t="n">
        <v>51500</v>
      </c>
      <c r="C60" s="6" t="n">
        <v>51500</v>
      </c>
      <c r="D60" s="16" t="s">
        <v>255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45273</v>
      </c>
      <c r="B61" s="6" t="n">
        <v>48580</v>
      </c>
      <c r="C61" s="6" t="n">
        <v>48580</v>
      </c>
      <c r="D61" s="16" t="s">
        <v>255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45274</v>
      </c>
      <c r="B62" s="6" t="n">
        <v>78000</v>
      </c>
      <c r="C62" s="6" t="n">
        <v>78000</v>
      </c>
      <c r="D62" s="16" t="s">
        <v>255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45275</v>
      </c>
      <c r="B63" s="6" t="n">
        <v>63266.1</v>
      </c>
      <c r="C63" s="6" t="n">
        <v>63266.1</v>
      </c>
      <c r="D63" s="16" t="s">
        <v>255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45277</v>
      </c>
      <c r="B64" s="6" t="n">
        <v>-389</v>
      </c>
      <c r="C64" s="6" t="n">
        <v>-389</v>
      </c>
      <c r="D64" s="16" t="s">
        <v>280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45279</v>
      </c>
      <c r="B65" s="6" t="n">
        <v>239</v>
      </c>
      <c r="C65" s="6" t="n">
        <v>239</v>
      </c>
      <c r="D65" s="16" t="s">
        <v>255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45280</v>
      </c>
      <c r="B66" s="6" t="n">
        <v>3274</v>
      </c>
      <c r="C66" s="6" t="n">
        <v>3274</v>
      </c>
      <c r="D66" s="16" t="s">
        <v>255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45286</v>
      </c>
      <c r="B67" s="6" t="n">
        <v>1574.82</v>
      </c>
      <c r="C67" s="6" t="n">
        <v>1574.82</v>
      </c>
      <c r="D67" s="16" t="s">
        <v>255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45287</v>
      </c>
      <c r="B68" s="6" t="n">
        <v>17707.2</v>
      </c>
      <c r="C68" s="6" t="n">
        <v>17707.2</v>
      </c>
      <c r="D68" s="16" t="s">
        <v>255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45288</v>
      </c>
      <c r="B69" s="6" t="n">
        <v>118694</v>
      </c>
      <c r="C69" s="6" t="n">
        <v>118694</v>
      </c>
      <c r="D69" s="16" t="s">
        <v>255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45290</v>
      </c>
      <c r="B70" s="6" t="n">
        <v>-29.54</v>
      </c>
      <c r="C70" s="6" t="n">
        <v>-29.54</v>
      </c>
      <c r="D70" s="16" t="s">
        <v>281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45297</v>
      </c>
      <c r="B71" s="6" t="n">
        <v>-10.26</v>
      </c>
      <c r="C71" s="6" t="n">
        <v>-10.26</v>
      </c>
      <c r="D71" s="16" t="s">
        <v>282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45300</v>
      </c>
      <c r="B72" s="6" t="n">
        <v>-77.76</v>
      </c>
      <c r="C72" s="6" t="n">
        <v>-77.76</v>
      </c>
      <c r="D72" s="16" t="s">
        <v>283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45302</v>
      </c>
      <c r="B73" s="6" t="n">
        <v>-80.31</v>
      </c>
      <c r="C73" s="6" t="n">
        <v>-80.31</v>
      </c>
      <c r="D73" s="16" t="s">
        <v>284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45305</v>
      </c>
      <c r="B74" s="6" t="n">
        <v>-35.08</v>
      </c>
      <c r="C74" s="6" t="n">
        <v>-35.08</v>
      </c>
      <c r="D74" s="16" t="s">
        <v>285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45316</v>
      </c>
      <c r="B75" s="6" t="n">
        <v>-77.76</v>
      </c>
      <c r="C75" s="6" t="n">
        <v>-77.76</v>
      </c>
      <c r="D75" s="16" t="s">
        <v>286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45320</v>
      </c>
      <c r="B76" s="6" t="n">
        <v>-29.54</v>
      </c>
      <c r="C76" s="6" t="n">
        <v>-29.54</v>
      </c>
      <c r="D76" s="16" t="s">
        <v>281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45321</v>
      </c>
      <c r="B77" s="6" t="n">
        <v>80.31</v>
      </c>
      <c r="C77" s="6" t="n">
        <v>80.31</v>
      </c>
      <c r="D77" s="16" t="s">
        <v>255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45323</v>
      </c>
      <c r="B78" s="6" t="n">
        <v>-52000</v>
      </c>
      <c r="C78" s="6" t="n">
        <v>0</v>
      </c>
      <c r="D78" s="16" t="s">
        <v>287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45327</v>
      </c>
      <c r="B79" s="6" t="n">
        <v>-10.26</v>
      </c>
      <c r="C79" s="6" t="n">
        <v>-10.26</v>
      </c>
      <c r="D79" s="16" t="s">
        <v>282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45327</v>
      </c>
      <c r="B80" s="6" t="n">
        <v>10.26</v>
      </c>
      <c r="C80" s="6" t="n">
        <v>10.26</v>
      </c>
      <c r="D80" s="16" t="s">
        <v>255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45332</v>
      </c>
      <c r="B81" s="6" t="n">
        <v>-18.36</v>
      </c>
      <c r="C81" s="6" t="n">
        <v>-18.36</v>
      </c>
      <c r="D81" s="16" t="s">
        <v>288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45335</v>
      </c>
      <c r="B82" s="6" t="n">
        <v>-35.08</v>
      </c>
      <c r="C82" s="6" t="n">
        <v>-35.08</v>
      </c>
      <c r="D82" s="16" t="s">
        <v>285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45336</v>
      </c>
      <c r="B83" s="6" t="n">
        <v>-56.75</v>
      </c>
      <c r="C83" s="6" t="n">
        <v>-56.75</v>
      </c>
      <c r="D83" s="16" t="s">
        <v>289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45337</v>
      </c>
      <c r="B84" s="6" t="n">
        <v>-173.45</v>
      </c>
      <c r="C84" s="6" t="n">
        <v>-173.45</v>
      </c>
      <c r="D84" s="16" t="s">
        <v>290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45338</v>
      </c>
      <c r="B85" s="6" t="n">
        <v>-115.64</v>
      </c>
      <c r="C85" s="6" t="n">
        <v>-115.64</v>
      </c>
      <c r="D85" s="16" t="s">
        <v>291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45342</v>
      </c>
      <c r="B86" s="6" t="n">
        <v>-82.74</v>
      </c>
      <c r="C86" s="6" t="n">
        <v>-82.74</v>
      </c>
      <c r="D86" s="16" t="s">
        <v>292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45343</v>
      </c>
      <c r="B87" s="6" t="n">
        <v>-118.64</v>
      </c>
      <c r="C87" s="6" t="n">
        <v>-118.64</v>
      </c>
      <c r="D87" s="16" t="s">
        <v>293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45348</v>
      </c>
      <c r="B88" s="6" t="n">
        <v>-79.6</v>
      </c>
      <c r="C88" s="6" t="n">
        <v>-79.6</v>
      </c>
      <c r="D88" s="16" t="s">
        <v>294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45350</v>
      </c>
      <c r="B89" s="6" t="n">
        <v>-29.54</v>
      </c>
      <c r="C89" s="6" t="n">
        <v>-29.54</v>
      </c>
      <c r="D89" s="16" t="s">
        <v>281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45352</v>
      </c>
      <c r="B90" s="6" t="n">
        <v>-64.43</v>
      </c>
      <c r="C90" s="6" t="n">
        <v>-64.43</v>
      </c>
      <c r="D90" s="16" t="s">
        <v>295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45352</v>
      </c>
      <c r="B91" s="6" t="n">
        <v>-38.52</v>
      </c>
      <c r="C91" s="6" t="n">
        <v>-38.52</v>
      </c>
      <c r="D91" s="16" t="s">
        <v>296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45357</v>
      </c>
      <c r="B92" s="6" t="n">
        <v>-10.26</v>
      </c>
      <c r="C92" s="6" t="n">
        <v>-10.26</v>
      </c>
      <c r="D92" s="16" t="s">
        <v>282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45357</v>
      </c>
      <c r="B93" s="6" t="n">
        <v>-200.6</v>
      </c>
      <c r="C93" s="6" t="n">
        <v>-200.6</v>
      </c>
      <c r="D93" s="16" t="s">
        <v>297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45362</v>
      </c>
      <c r="B94" s="6" t="n">
        <v>-18.36</v>
      </c>
      <c r="C94" s="6" t="n">
        <v>-18.36</v>
      </c>
      <c r="D94" s="16" t="s">
        <v>288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45363</v>
      </c>
      <c r="B95" s="6" t="n">
        <v>-15.09</v>
      </c>
      <c r="C95" s="6" t="n">
        <v>-15.09</v>
      </c>
      <c r="D95" s="16" t="s">
        <v>298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45364</v>
      </c>
      <c r="B96" s="6" t="n">
        <v>-103.08</v>
      </c>
      <c r="C96" s="6" t="n">
        <v>-103.08</v>
      </c>
      <c r="D96" s="16" t="s">
        <v>299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45364</v>
      </c>
      <c r="B97" s="6" t="n">
        <v>-24.25</v>
      </c>
      <c r="C97" s="6" t="n">
        <v>-24.25</v>
      </c>
      <c r="D97" s="16" t="s">
        <v>300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45365</v>
      </c>
      <c r="B98" s="6" t="n">
        <v>-35.08</v>
      </c>
      <c r="C98" s="6" t="n">
        <v>-35.08</v>
      </c>
      <c r="D98" s="16" t="s">
        <v>285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45365</v>
      </c>
      <c r="B99" s="6" t="n">
        <v>15.09</v>
      </c>
      <c r="C99" s="6" t="n">
        <v>15.09</v>
      </c>
      <c r="D99" s="16" t="s">
        <v>301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45365</v>
      </c>
      <c r="B100" s="6" t="n">
        <v>10</v>
      </c>
      <c r="C100" s="6" t="n">
        <v>10</v>
      </c>
      <c r="D100" s="16" t="s">
        <v>255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45366</v>
      </c>
      <c r="B101" s="6" t="n">
        <v>-56.75</v>
      </c>
      <c r="C101" s="6" t="n">
        <v>-56.75</v>
      </c>
      <c r="D101" s="16" t="s">
        <v>289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45371</v>
      </c>
      <c r="B102" s="6" t="n">
        <v>-436.15</v>
      </c>
      <c r="C102" s="6" t="n">
        <v>-436.15</v>
      </c>
      <c r="D102" s="16" t="s">
        <v>302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45371</v>
      </c>
      <c r="B103" s="6" t="n">
        <v>-504.6</v>
      </c>
      <c r="C103" s="6" t="n">
        <v>-504.6</v>
      </c>
      <c r="D103" s="16" t="s">
        <v>303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45377</v>
      </c>
      <c r="B104" s="6" t="n">
        <v>-191.45</v>
      </c>
      <c r="C104" s="6" t="n">
        <v>-191.45</v>
      </c>
      <c r="D104" s="16" t="s">
        <v>304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45377</v>
      </c>
      <c r="B105" s="6" t="n">
        <v>-55.32</v>
      </c>
      <c r="C105" s="6" t="n">
        <v>-55.32</v>
      </c>
      <c r="D105" s="16" t="s">
        <v>305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45378</v>
      </c>
      <c r="B106" s="6" t="n">
        <v>-412.7</v>
      </c>
      <c r="C106" s="6" t="n">
        <v>-412.7</v>
      </c>
      <c r="D106" s="16" t="s">
        <v>306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45378</v>
      </c>
      <c r="B107" s="6" t="n">
        <v>-94.7</v>
      </c>
      <c r="C107" s="6" t="n">
        <v>-94.7</v>
      </c>
      <c r="D107" s="16" t="s">
        <v>307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45380</v>
      </c>
      <c r="B108" s="6" t="n">
        <v>-29.54</v>
      </c>
      <c r="C108" s="6" t="n">
        <v>-29.54</v>
      </c>
      <c r="D108" s="16" t="s">
        <v>281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45383</v>
      </c>
      <c r="B109" s="6" t="n">
        <v>-41.53</v>
      </c>
      <c r="C109" s="6" t="n">
        <v>-41.53</v>
      </c>
      <c r="D109" s="16" t="s">
        <v>308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45385</v>
      </c>
      <c r="B110" s="6" t="n">
        <v>-333.9</v>
      </c>
      <c r="C110" s="6" t="n">
        <v>-333.9</v>
      </c>
      <c r="D110" s="16" t="s">
        <v>309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45386</v>
      </c>
      <c r="B111" s="6" t="n">
        <v>-102.68</v>
      </c>
      <c r="C111" s="6" t="n">
        <v>-102.68</v>
      </c>
      <c r="D111" s="16" t="s">
        <v>310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45387</v>
      </c>
      <c r="B112" s="6" t="n">
        <v>-10.26</v>
      </c>
      <c r="C112" s="6" t="n">
        <v>-10.26</v>
      </c>
      <c r="D112" s="16" t="s">
        <v>282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45391</v>
      </c>
      <c r="B113" s="6" t="n">
        <v>-77.76</v>
      </c>
      <c r="C113" s="6" t="n">
        <v>-77.76</v>
      </c>
      <c r="D113" s="16" t="s">
        <v>283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45391</v>
      </c>
      <c r="B114" s="6" t="n">
        <v>129</v>
      </c>
      <c r="C114" s="6" t="n">
        <v>129</v>
      </c>
      <c r="D114" s="16" t="s">
        <v>255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45392</v>
      </c>
      <c r="B115" s="6" t="n">
        <v>-18.36</v>
      </c>
      <c r="C115" s="6" t="n">
        <v>-18.36</v>
      </c>
      <c r="D115" s="16" t="s">
        <v>288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45395</v>
      </c>
      <c r="B116" s="6" t="n">
        <v>-35.08</v>
      </c>
      <c r="C116" s="6" t="n">
        <v>-35.08</v>
      </c>
      <c r="D116" s="16" t="s">
        <v>285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45396</v>
      </c>
      <c r="B117" s="6" t="n">
        <v>-114.5</v>
      </c>
      <c r="C117" s="6" t="n">
        <v>-114.5</v>
      </c>
      <c r="D117" s="16" t="s">
        <v>311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45400</v>
      </c>
      <c r="B118" s="6" t="n">
        <v>309.43</v>
      </c>
      <c r="C118" s="6" t="n">
        <v>309.43</v>
      </c>
      <c r="D118" s="16" t="s">
        <v>255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45407</v>
      </c>
      <c r="B119" s="6" t="n">
        <v>-77.76</v>
      </c>
      <c r="C119" s="6" t="n">
        <v>-77.76</v>
      </c>
      <c r="D119" s="16" t="s">
        <v>286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45407</v>
      </c>
      <c r="B120" s="6" t="n">
        <v>-102.81</v>
      </c>
      <c r="C120" s="6" t="n">
        <v>-102.81</v>
      </c>
      <c r="D120" s="16" t="s">
        <v>312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45407</v>
      </c>
      <c r="B121" s="6" t="n">
        <v>194.57</v>
      </c>
      <c r="C121" s="6" t="n">
        <v>194.57</v>
      </c>
      <c r="D121" s="16" t="s">
        <v>255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45408</v>
      </c>
      <c r="B122" s="6" t="n">
        <v>81.14</v>
      </c>
      <c r="C122" s="6" t="n">
        <v>81.14</v>
      </c>
      <c r="D122" s="16" t="s">
        <v>255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45410</v>
      </c>
      <c r="B123" s="6" t="n">
        <v>-29.54</v>
      </c>
      <c r="C123" s="6" t="n">
        <v>-29.54</v>
      </c>
      <c r="D123" s="16" t="s">
        <v>281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45413</v>
      </c>
      <c r="B124" s="6" t="n">
        <v>-40.06</v>
      </c>
      <c r="C124" s="6" t="n">
        <v>-40.06</v>
      </c>
      <c r="D124" s="16" t="s">
        <v>313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45414</v>
      </c>
      <c r="B125" s="6" t="n">
        <v>69.6</v>
      </c>
      <c r="C125" s="6" t="n">
        <v>69.6</v>
      </c>
      <c r="D125" s="16" t="s">
        <v>255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45414</v>
      </c>
      <c r="B126" s="6" t="n">
        <v>-87</v>
      </c>
      <c r="C126" s="6" t="n">
        <v>-87</v>
      </c>
      <c r="D126" s="16" t="s">
        <v>314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45417</v>
      </c>
      <c r="B127" s="6" t="n">
        <v>-10.26</v>
      </c>
      <c r="C127" s="6" t="n">
        <v>-10.26</v>
      </c>
      <c r="D127" s="16" t="s">
        <v>282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45419</v>
      </c>
      <c r="B128" s="6" t="n">
        <v>-433</v>
      </c>
      <c r="C128" s="6" t="n">
        <v>-433</v>
      </c>
      <c r="D128" s="16" t="s">
        <v>315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45422</v>
      </c>
      <c r="B129" s="6" t="n">
        <v>-18.36</v>
      </c>
      <c r="C129" s="6" t="n">
        <v>-18.36</v>
      </c>
      <c r="D129" s="16" t="s">
        <v>288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45425</v>
      </c>
      <c r="B130" s="6" t="n">
        <v>-35.08</v>
      </c>
      <c r="C130" s="6" t="n">
        <v>-35.08</v>
      </c>
      <c r="D130" s="16" t="s">
        <v>285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45426</v>
      </c>
      <c r="B131" s="6" t="n">
        <v>-114.5</v>
      </c>
      <c r="C131" s="6" t="n">
        <v>-114.5</v>
      </c>
      <c r="D131" s="16" t="s">
        <v>311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45427</v>
      </c>
      <c r="B132" s="6" t="n">
        <v>-310.5</v>
      </c>
      <c r="C132" s="6" t="n">
        <v>-310.5</v>
      </c>
      <c r="D132" s="16" t="s">
        <v>316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45428</v>
      </c>
      <c r="B133" s="6" t="n">
        <v>-173.45</v>
      </c>
      <c r="C133" s="6" t="n">
        <v>-173.45</v>
      </c>
      <c r="D133" s="16" t="s">
        <v>290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45433</v>
      </c>
      <c r="B134" s="6" t="n">
        <v>-82.74</v>
      </c>
      <c r="C134" s="6" t="n">
        <v>-82.74</v>
      </c>
      <c r="D134" s="16" t="s">
        <v>292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45433</v>
      </c>
      <c r="B135" s="6" t="n">
        <v>-110.28</v>
      </c>
      <c r="C135" s="6" t="n">
        <v>-110.28</v>
      </c>
      <c r="D135" s="16" t="s">
        <v>317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45434</v>
      </c>
      <c r="B136" s="6" t="n">
        <v>-279.6</v>
      </c>
      <c r="C136" s="6" t="n">
        <v>-279.6</v>
      </c>
      <c r="D136" s="16" t="s">
        <v>318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45434</v>
      </c>
      <c r="B137" s="6" t="n">
        <v>-118.64</v>
      </c>
      <c r="C137" s="6" t="n">
        <v>-118.64</v>
      </c>
      <c r="D137" s="16" t="s">
        <v>293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45439</v>
      </c>
      <c r="B138" s="6" t="n">
        <v>-79.6</v>
      </c>
      <c r="C138" s="6" t="n">
        <v>-79.6</v>
      </c>
      <c r="D138" s="16" t="s">
        <v>294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45440</v>
      </c>
      <c r="B139" s="6" t="n">
        <v>-29.54</v>
      </c>
      <c r="C139" s="6" t="n">
        <v>-29.54</v>
      </c>
      <c r="D139" s="16" t="s">
        <v>281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45441</v>
      </c>
      <c r="B140" s="6" t="n">
        <v>910.4</v>
      </c>
      <c r="C140" s="6" t="n">
        <v>910.4</v>
      </c>
      <c r="D140" s="16" t="s">
        <v>255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45443</v>
      </c>
      <c r="B141" s="6" t="n">
        <v>-64.43</v>
      </c>
      <c r="C141" s="6" t="n">
        <v>-64.43</v>
      </c>
      <c r="D141" s="16" t="s">
        <v>295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45443</v>
      </c>
      <c r="B142" s="6" t="n">
        <v>-69.8</v>
      </c>
      <c r="C142" s="6" t="n">
        <v>-69.8</v>
      </c>
      <c r="D142" s="16" t="s">
        <v>319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45444</v>
      </c>
      <c r="B143" s="6" t="n">
        <v>-41.53</v>
      </c>
      <c r="C143" s="6" t="n">
        <v>-41.53</v>
      </c>
      <c r="D143" s="16" t="s">
        <v>308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45446</v>
      </c>
      <c r="B144" s="6" t="n">
        <v>-84.8</v>
      </c>
      <c r="C144" s="6" t="n">
        <v>-84.8</v>
      </c>
      <c r="D144" s="16" t="s">
        <v>320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45447</v>
      </c>
      <c r="B145" s="6" t="n">
        <v>-10.26</v>
      </c>
      <c r="C145" s="6" t="n">
        <v>-10.26</v>
      </c>
      <c r="D145" s="16" t="s">
        <v>282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45448</v>
      </c>
      <c r="B146" s="6" t="n">
        <v>-831.8</v>
      </c>
      <c r="C146" s="6" t="n">
        <v>-831.8</v>
      </c>
      <c r="D146" s="16" t="s">
        <v>321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45452</v>
      </c>
      <c r="B147" s="6" t="n">
        <v>-18.36</v>
      </c>
      <c r="C147" s="6" t="n">
        <v>-18.36</v>
      </c>
      <c r="D147" s="16" t="s">
        <v>288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45453</v>
      </c>
      <c r="B148" s="6" t="n">
        <v>-23.52</v>
      </c>
      <c r="C148" s="6" t="n">
        <v>-23.52</v>
      </c>
      <c r="D148" s="16" t="s">
        <v>322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45453</v>
      </c>
      <c r="B149" s="6" t="n">
        <v>-26.92</v>
      </c>
      <c r="C149" s="6" t="n">
        <v>-26.92</v>
      </c>
      <c r="D149" s="16" t="s">
        <v>269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45454</v>
      </c>
      <c r="B150" s="6" t="n">
        <v>-15.39</v>
      </c>
      <c r="C150" s="6" t="n">
        <v>-15.39</v>
      </c>
      <c r="D150" s="16" t="s">
        <v>323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45455</v>
      </c>
      <c r="B151" s="6" t="n">
        <v>-25.3</v>
      </c>
      <c r="C151" s="6" t="n">
        <v>-25.3</v>
      </c>
      <c r="D151" s="16" t="s">
        <v>324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45455</v>
      </c>
      <c r="B152" s="6" t="n">
        <v>-35.08</v>
      </c>
      <c r="C152" s="6" t="n">
        <v>-35.08</v>
      </c>
      <c r="D152" s="16" t="s">
        <v>285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45456</v>
      </c>
      <c r="B153" s="6" t="n">
        <v>-114.5</v>
      </c>
      <c r="C153" s="6" t="n">
        <v>-114.5</v>
      </c>
      <c r="D153" s="16" t="s">
        <v>311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45456</v>
      </c>
      <c r="B154" s="6" t="n">
        <v>15.39</v>
      </c>
      <c r="C154" s="6" t="n">
        <v>15.39</v>
      </c>
      <c r="D154" s="16" t="s">
        <v>325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45457</v>
      </c>
      <c r="B155" s="6" t="n">
        <v>-108.81</v>
      </c>
      <c r="C155" s="6" t="n">
        <v>-108.81</v>
      </c>
      <c r="D155" s="16" t="s">
        <v>326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45457</v>
      </c>
      <c r="B156" s="6" t="n">
        <v>-150.5</v>
      </c>
      <c r="C156" s="6" t="n">
        <v>-150.5</v>
      </c>
      <c r="D156" s="16" t="s">
        <v>327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45458</v>
      </c>
      <c r="B157" s="6" t="n">
        <v>-35</v>
      </c>
      <c r="C157" s="6" t="n">
        <v>-35</v>
      </c>
      <c r="D157" s="16" t="s">
        <v>278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45461</v>
      </c>
      <c r="B158" s="6" t="n">
        <v>-33.3</v>
      </c>
      <c r="C158" s="6" t="n">
        <v>-33.3</v>
      </c>
      <c r="D158" s="16" t="s">
        <v>328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45461</v>
      </c>
      <c r="B159" s="6" t="n">
        <v>-166.51</v>
      </c>
      <c r="C159" s="6" t="n">
        <v>-166.51</v>
      </c>
      <c r="D159" s="16" t="s">
        <v>329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45462</v>
      </c>
      <c r="B160" s="6" t="n">
        <v>751.82</v>
      </c>
      <c r="C160" s="6" t="n">
        <v>751.82</v>
      </c>
      <c r="D160" s="16" t="s">
        <v>255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45463</v>
      </c>
      <c r="B161" s="6" t="n">
        <v>35</v>
      </c>
      <c r="C161" s="6" t="n">
        <v>35</v>
      </c>
      <c r="D161" s="16" t="s">
        <v>255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45464</v>
      </c>
      <c r="B162" s="6" t="n">
        <v>11390</v>
      </c>
      <c r="C162" s="6" t="n">
        <v>11390</v>
      </c>
      <c r="D162" s="16" t="s">
        <v>255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45467</v>
      </c>
      <c r="B163" s="6" t="n">
        <v>11920</v>
      </c>
      <c r="C163" s="6" t="n">
        <v>11920</v>
      </c>
      <c r="D163" s="16" t="s">
        <v>255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45468</v>
      </c>
      <c r="B164" s="6" t="n">
        <v>-55.32</v>
      </c>
      <c r="C164" s="6" t="n">
        <v>-55.32</v>
      </c>
      <c r="D164" s="16" t="s">
        <v>305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45470</v>
      </c>
      <c r="B165" s="6" t="n">
        <v>-29.54</v>
      </c>
      <c r="C165" s="6" t="n">
        <v>-29.54</v>
      </c>
      <c r="D165" s="16" t="s">
        <v>281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45473</v>
      </c>
      <c r="B166" s="6" t="n">
        <v>12483.2</v>
      </c>
      <c r="C166" s="6" t="n">
        <v>12483.2</v>
      </c>
      <c r="D166" s="16" t="s">
        <v>255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45473</v>
      </c>
      <c r="B167" s="6" t="n">
        <v>-404.11</v>
      </c>
      <c r="C167" s="6" t="n">
        <v>-404.11</v>
      </c>
      <c r="D167" s="16" t="s">
        <v>330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45474</v>
      </c>
      <c r="B168" s="6" t="n">
        <v>-40.06</v>
      </c>
      <c r="C168" s="6" t="n">
        <v>-40.06</v>
      </c>
      <c r="D168" s="16" t="s">
        <v>313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45474</v>
      </c>
      <c r="B169" s="6" t="n">
        <v>404.11</v>
      </c>
      <c r="C169" s="6" t="n">
        <v>404.11</v>
      </c>
      <c r="D169" s="16" t="s">
        <v>331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45477</v>
      </c>
      <c r="B170" s="6" t="n">
        <v>-102.68</v>
      </c>
      <c r="C170" s="6" t="n">
        <v>-102.68</v>
      </c>
      <c r="D170" s="16" t="s">
        <v>310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45477</v>
      </c>
      <c r="B171" s="6" t="n">
        <v>-10.26</v>
      </c>
      <c r="C171" s="6" t="n">
        <v>-10.26</v>
      </c>
      <c r="D171" s="16" t="s">
        <v>282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45481</v>
      </c>
      <c r="B172" s="6" t="n">
        <v>-35</v>
      </c>
      <c r="C172" s="6" t="n">
        <v>-35</v>
      </c>
      <c r="D172" s="16" t="s">
        <v>272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45481</v>
      </c>
      <c r="B173" s="6" t="n">
        <v>-35</v>
      </c>
      <c r="C173" s="6" t="n">
        <v>-35</v>
      </c>
      <c r="D173" s="16" t="s">
        <v>272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45482</v>
      </c>
      <c r="B174" s="6" t="n">
        <v>-77.76</v>
      </c>
      <c r="C174" s="6" t="n">
        <v>-77.76</v>
      </c>
      <c r="D174" s="16" t="s">
        <v>283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45482</v>
      </c>
      <c r="B175" s="6" t="n">
        <v>-18.36</v>
      </c>
      <c r="C175" s="6" t="n">
        <v>-18.36</v>
      </c>
      <c r="D175" s="16" t="s">
        <v>288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45482</v>
      </c>
      <c r="B176" s="6" t="n">
        <v>-76.03</v>
      </c>
      <c r="C176" s="6" t="n">
        <v>-76.03</v>
      </c>
      <c r="D176" s="16" t="s">
        <v>332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45482</v>
      </c>
      <c r="B177" s="6" t="n">
        <v>-20.67</v>
      </c>
      <c r="C177" s="6" t="n">
        <v>-20.67</v>
      </c>
      <c r="D177" s="16" t="s">
        <v>333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45483</v>
      </c>
      <c r="B178" s="6" t="n">
        <v>491.97</v>
      </c>
      <c r="C178" s="6" t="n">
        <v>491.97</v>
      </c>
      <c r="D178" s="16" t="s">
        <v>255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45484</v>
      </c>
      <c r="B179" s="6" t="n">
        <v>-34.6</v>
      </c>
      <c r="C179" s="6" t="n">
        <v>-34.6</v>
      </c>
      <c r="D179" s="16" t="s">
        <v>334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45484</v>
      </c>
      <c r="B180" s="6" t="n">
        <v>-290</v>
      </c>
      <c r="C180" s="6" t="n">
        <v>-290</v>
      </c>
      <c r="D180" s="16" t="s">
        <v>335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45485</v>
      </c>
      <c r="B181" s="6" t="n">
        <v>-35.08</v>
      </c>
      <c r="C181" s="6" t="n">
        <v>-35.08</v>
      </c>
      <c r="D181" s="16" t="s">
        <v>285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45486</v>
      </c>
      <c r="B182" s="6" t="n">
        <v>-114.5</v>
      </c>
      <c r="C182" s="6" t="n">
        <v>-114.5</v>
      </c>
      <c r="D182" s="16" t="s">
        <v>311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45488</v>
      </c>
      <c r="B183" s="6" t="n">
        <v>-358.13</v>
      </c>
      <c r="C183" s="6" t="n">
        <v>-358.13</v>
      </c>
      <c r="D183" s="16" t="s">
        <v>336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45488</v>
      </c>
      <c r="B184" s="6" t="n">
        <v>39279.73</v>
      </c>
      <c r="C184" s="6" t="n">
        <v>39279.73</v>
      </c>
      <c r="D184" s="16" t="s">
        <v>255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45489</v>
      </c>
      <c r="B185" s="6" t="n">
        <v>114.5</v>
      </c>
      <c r="C185" s="6" t="n">
        <v>114.5</v>
      </c>
      <c r="D185" s="16" t="s">
        <v>255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45490</v>
      </c>
      <c r="B186" s="6" t="n">
        <v>-90</v>
      </c>
      <c r="C186" s="6" t="n">
        <v>-90</v>
      </c>
      <c r="D186" s="16" t="s">
        <v>337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45490</v>
      </c>
      <c r="B187" s="6" t="n">
        <v>2700</v>
      </c>
      <c r="C187" s="6" t="n">
        <v>2700</v>
      </c>
      <c r="D187" s="16" t="s">
        <v>255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45491</v>
      </c>
      <c r="B188" s="6" t="n">
        <v>-1069</v>
      </c>
      <c r="C188" s="6" t="n">
        <v>-1069</v>
      </c>
      <c r="D188" s="16" t="s">
        <v>338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45491</v>
      </c>
      <c r="B189" s="6" t="n">
        <v>-148</v>
      </c>
      <c r="C189" s="6" t="n">
        <v>-148</v>
      </c>
      <c r="D189" s="16" t="s">
        <v>339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45491</v>
      </c>
      <c r="B190" s="6" t="n">
        <v>-308.4</v>
      </c>
      <c r="C190" s="6" t="n">
        <v>-308.4</v>
      </c>
      <c r="D190" s="16" t="s">
        <v>340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45491</v>
      </c>
      <c r="B191" s="6" t="n">
        <v>6328.13</v>
      </c>
      <c r="C191" s="6" t="n">
        <v>6328.13</v>
      </c>
      <c r="D191" s="16" t="s">
        <v>255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45492</v>
      </c>
      <c r="B192" s="6" t="n">
        <v>20.67</v>
      </c>
      <c r="C192" s="6" t="n">
        <v>20.67</v>
      </c>
      <c r="D192" s="16" t="s">
        <v>255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45494</v>
      </c>
      <c r="B193" s="6" t="n">
        <v>161.39</v>
      </c>
      <c r="C193" s="6" t="n">
        <v>161.39</v>
      </c>
      <c r="D193" s="16" t="s">
        <v>255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45495</v>
      </c>
      <c r="B194" s="6" t="n">
        <v>7200</v>
      </c>
      <c r="C194" s="6" t="n">
        <v>7200</v>
      </c>
      <c r="D194" s="16" t="s">
        <v>255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45496</v>
      </c>
      <c r="B195" s="6" t="n">
        <v>25440</v>
      </c>
      <c r="C195" s="6" t="n">
        <v>25440</v>
      </c>
      <c r="D195" s="16" t="s">
        <v>255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45497</v>
      </c>
      <c r="B196" s="6" t="n">
        <v>10</v>
      </c>
      <c r="C196" s="6" t="n">
        <v>10</v>
      </c>
      <c r="D196" s="16" t="s">
        <v>255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45498</v>
      </c>
      <c r="B197" s="6" t="n">
        <v>-102.81</v>
      </c>
      <c r="C197" s="6" t="n">
        <v>-102.81</v>
      </c>
      <c r="D197" s="16" t="s">
        <v>312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45498</v>
      </c>
      <c r="B198" s="6" t="n">
        <v>-77.76</v>
      </c>
      <c r="C198" s="6" t="n">
        <v>-77.76</v>
      </c>
      <c r="D198" s="16" t="s">
        <v>286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45500</v>
      </c>
      <c r="B199" s="6" t="n">
        <v>-77.44</v>
      </c>
      <c r="C199" s="6" t="n">
        <v>-77.44</v>
      </c>
      <c r="D199" s="16" t="s">
        <v>341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45503</v>
      </c>
      <c r="B200" s="6" t="n">
        <v>4150</v>
      </c>
      <c r="C200" s="6" t="n">
        <v>4150</v>
      </c>
      <c r="D200" s="16" t="s">
        <v>255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45504</v>
      </c>
      <c r="B201" s="6" t="n">
        <v>-353.5</v>
      </c>
      <c r="C201" s="6" t="n">
        <v>-353.5</v>
      </c>
      <c r="D201" s="16" t="s">
        <v>342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45505</v>
      </c>
      <c r="B202" s="6" t="n">
        <v>-38.8</v>
      </c>
      <c r="C202" s="6" t="n">
        <v>-38.8</v>
      </c>
      <c r="D202" s="16" t="s">
        <v>343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45505</v>
      </c>
      <c r="B203" s="6" t="n">
        <v>353.5</v>
      </c>
      <c r="C203" s="6" t="n">
        <v>353.5</v>
      </c>
      <c r="D203" s="16" t="s">
        <v>344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45505</v>
      </c>
      <c r="B204" s="6" t="n">
        <v>30</v>
      </c>
      <c r="C204" s="6" t="n">
        <v>30</v>
      </c>
      <c r="D204" s="16" t="s">
        <v>255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45505</v>
      </c>
      <c r="B205" s="6" t="n">
        <v>-412.5</v>
      </c>
      <c r="C205" s="6" t="n">
        <v>-412.5</v>
      </c>
      <c r="D205" s="16" t="s">
        <v>345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45506</v>
      </c>
      <c r="B206" s="6" t="n">
        <v>412.5</v>
      </c>
      <c r="C206" s="6" t="n">
        <v>412.5</v>
      </c>
      <c r="D206" s="16" t="s">
        <v>346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45506</v>
      </c>
      <c r="B207" s="6" t="n">
        <v>-53.4</v>
      </c>
      <c r="C207" s="6" t="n">
        <v>-53.4</v>
      </c>
      <c r="D207" s="16" t="s">
        <v>347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45506</v>
      </c>
      <c r="B208" s="6" t="n">
        <v>470</v>
      </c>
      <c r="C208" s="6" t="n">
        <v>470</v>
      </c>
      <c r="D208" s="16" t="s">
        <v>255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45507</v>
      </c>
      <c r="B209" s="6" t="n">
        <v>-39.04</v>
      </c>
      <c r="C209" s="6" t="n">
        <v>-39.04</v>
      </c>
      <c r="D209" s="16" t="s">
        <v>348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45509</v>
      </c>
      <c r="B210" s="6" t="n">
        <v>55000</v>
      </c>
      <c r="C210" s="6" t="n">
        <v>55000</v>
      </c>
      <c r="D210" s="16" t="s">
        <v>255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45512</v>
      </c>
      <c r="B211" s="6" t="n">
        <v>-18.36</v>
      </c>
      <c r="C211" s="6" t="n">
        <v>-18.36</v>
      </c>
      <c r="D211" s="16" t="s">
        <v>288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45515</v>
      </c>
      <c r="B212" s="6" t="n">
        <v>-35.08</v>
      </c>
      <c r="C212" s="6" t="n">
        <v>-35.08</v>
      </c>
      <c r="D212" s="16" t="s">
        <v>285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45516</v>
      </c>
      <c r="B213" s="6" t="n">
        <v>-114.5</v>
      </c>
      <c r="C213" s="6" t="n">
        <v>-114.5</v>
      </c>
      <c r="D213" s="16" t="s">
        <v>311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45518</v>
      </c>
      <c r="B214" s="6" t="n">
        <v>-2429</v>
      </c>
      <c r="C214" s="6" t="n">
        <v>-2429</v>
      </c>
      <c r="D214" s="16" t="s">
        <v>349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45519</v>
      </c>
      <c r="B215" s="6" t="n">
        <v>-173.45</v>
      </c>
      <c r="C215" s="6" t="n">
        <v>-173.45</v>
      </c>
      <c r="D215" s="16" t="s">
        <v>290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45520</v>
      </c>
      <c r="B216" s="6" t="n">
        <v>-115.64</v>
      </c>
      <c r="C216" s="6" t="n">
        <v>-115.64</v>
      </c>
      <c r="D216" s="16" t="s">
        <v>291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45524</v>
      </c>
      <c r="B217" s="6" t="n">
        <v>-14</v>
      </c>
      <c r="C217" s="6" t="n">
        <v>-14</v>
      </c>
      <c r="D217" s="16" t="s">
        <v>350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45525</v>
      </c>
      <c r="B218" s="6" t="n">
        <v>-148.8</v>
      </c>
      <c r="C218" s="6" t="n">
        <v>-148.8</v>
      </c>
      <c r="D218" s="16" t="s">
        <v>351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45525</v>
      </c>
      <c r="B219" s="6" t="n">
        <v>-532.04</v>
      </c>
      <c r="C219" s="6" t="n">
        <v>-532.04</v>
      </c>
      <c r="D219" s="16" t="s">
        <v>352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45526</v>
      </c>
      <c r="B220" s="6" t="n">
        <v>690</v>
      </c>
      <c r="C220" s="6" t="n">
        <v>690</v>
      </c>
      <c r="D220" s="16" t="s">
        <v>255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45527</v>
      </c>
      <c r="B221" s="6" t="n">
        <v>7009.84</v>
      </c>
      <c r="C221" s="6" t="n">
        <v>7009.84</v>
      </c>
      <c r="D221" s="16" t="s">
        <v>255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45530</v>
      </c>
      <c r="B222" s="6" t="n">
        <v>-79.6</v>
      </c>
      <c r="C222" s="6" t="n">
        <v>-79.6</v>
      </c>
      <c r="D222" s="16" t="s">
        <v>294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45530</v>
      </c>
      <c r="B223" s="6" t="n">
        <v>-77.44</v>
      </c>
      <c r="C223" s="6" t="n">
        <v>-77.44</v>
      </c>
      <c r="D223" s="16" t="s">
        <v>341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45530</v>
      </c>
      <c r="B224" s="6" t="n">
        <v>5300</v>
      </c>
      <c r="C224" s="6" t="n">
        <v>5300</v>
      </c>
      <c r="D224" s="16" t="s">
        <v>255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45532</v>
      </c>
      <c r="B225" s="6" t="n">
        <v>1670</v>
      </c>
      <c r="C225" s="6" t="n">
        <v>1670</v>
      </c>
      <c r="D225" s="16" t="s">
        <v>255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45534</v>
      </c>
      <c r="B226" s="6" t="n">
        <v>-64.43</v>
      </c>
      <c r="C226" s="6" t="n">
        <v>-64.43</v>
      </c>
      <c r="D226" s="16" t="s">
        <v>295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45535</v>
      </c>
      <c r="B227" s="6" t="n">
        <v>-386.68</v>
      </c>
      <c r="C227" s="6" t="n">
        <v>-386.68</v>
      </c>
      <c r="D227" s="16" t="s">
        <v>353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45536</v>
      </c>
      <c r="B228" s="6" t="n">
        <v>-36.42</v>
      </c>
      <c r="C228" s="6" t="n">
        <v>-36.42</v>
      </c>
      <c r="D228" s="16" t="s">
        <v>354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45536</v>
      </c>
      <c r="B229" s="6" t="n">
        <v>-450.7</v>
      </c>
      <c r="C229" s="6" t="n">
        <v>-450.7</v>
      </c>
      <c r="D229" s="16" t="s">
        <v>355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45537</v>
      </c>
      <c r="B230" s="6" t="n">
        <v>-50.6</v>
      </c>
      <c r="C230" s="6" t="n">
        <v>-50.6</v>
      </c>
      <c r="D230" s="16" t="s">
        <v>356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45537</v>
      </c>
      <c r="B231" s="6" t="n">
        <v>-68.82</v>
      </c>
      <c r="C231" s="6" t="n">
        <v>-68.82</v>
      </c>
      <c r="D231" s="16" t="s">
        <v>357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45537</v>
      </c>
      <c r="B232" s="6" t="n">
        <v>11421.19</v>
      </c>
      <c r="C232" s="6" t="n">
        <v>11421.19</v>
      </c>
      <c r="D232" s="16" t="s">
        <v>255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45537</v>
      </c>
      <c r="B233" s="6" t="n">
        <v>837.38</v>
      </c>
      <c r="C233" s="6" t="n">
        <v>837.38</v>
      </c>
      <c r="D233" s="16" t="s">
        <v>358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45539</v>
      </c>
      <c r="B234" s="6" t="n">
        <v>-200.6</v>
      </c>
      <c r="C234" s="6" t="n">
        <v>-200.6</v>
      </c>
      <c r="D234" s="16" t="s">
        <v>297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45542</v>
      </c>
      <c r="B235" s="6" t="n">
        <v>-18.36</v>
      </c>
      <c r="C235" s="6" t="n">
        <v>-18.36</v>
      </c>
      <c r="D235" s="16" t="s">
        <v>288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45544</v>
      </c>
      <c r="B236" s="6" t="n">
        <v>3350.6</v>
      </c>
      <c r="C236" s="6" t="n">
        <v>3350.6</v>
      </c>
      <c r="D236" s="16" t="s">
        <v>255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45545</v>
      </c>
      <c r="B237" s="6" t="n">
        <v>-15.86</v>
      </c>
      <c r="C237" s="6" t="n">
        <v>-15.86</v>
      </c>
      <c r="D237" s="16" t="s">
        <v>359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45545</v>
      </c>
      <c r="B238" s="6" t="n">
        <v>-27.06</v>
      </c>
      <c r="C238" s="6" t="n">
        <v>-27.06</v>
      </c>
      <c r="D238" s="16" t="s">
        <v>360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45545</v>
      </c>
      <c r="B239" s="6" t="n">
        <v>-35.08</v>
      </c>
      <c r="C239" s="6" t="n">
        <v>-35.08</v>
      </c>
      <c r="D239" s="16" t="s">
        <v>285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45546</v>
      </c>
      <c r="B240" s="6" t="n">
        <v>15.86</v>
      </c>
      <c r="C240" s="6" t="n">
        <v>15.86</v>
      </c>
      <c r="D240" s="16" t="s">
        <v>361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45546</v>
      </c>
      <c r="B241" s="6" t="n">
        <v>-3000</v>
      </c>
      <c r="C241" s="6" t="n">
        <v>-3000</v>
      </c>
      <c r="D241" s="16" t="s">
        <v>362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45546</v>
      </c>
      <c r="B242" s="6" t="n">
        <v>-114.5</v>
      </c>
      <c r="C242" s="6" t="n">
        <v>-114.5</v>
      </c>
      <c r="D242" s="16" t="s">
        <v>311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45546</v>
      </c>
      <c r="B243" s="6" t="n">
        <v>-24.63</v>
      </c>
      <c r="C243" s="6" t="n">
        <v>-24.63</v>
      </c>
      <c r="D243" s="16" t="s">
        <v>363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45547</v>
      </c>
      <c r="B244" s="6" t="n">
        <v>-103.08</v>
      </c>
      <c r="C244" s="6" t="n">
        <v>-103.08</v>
      </c>
      <c r="D244" s="16" t="s">
        <v>299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45547</v>
      </c>
      <c r="B245" s="6" t="n">
        <v>3000</v>
      </c>
      <c r="C245" s="6" t="n">
        <v>3000</v>
      </c>
      <c r="D245" s="16" t="s">
        <v>364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45548</v>
      </c>
      <c r="B246" s="6" t="n">
        <v>-310.6</v>
      </c>
      <c r="C246" s="6" t="n">
        <v>-310.6</v>
      </c>
      <c r="D246" s="16" t="s">
        <v>365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45551</v>
      </c>
      <c r="B247" s="6" t="n">
        <v>150335.92</v>
      </c>
      <c r="C247" s="6" t="n">
        <v>150335.92</v>
      </c>
      <c r="D247" s="16" t="s">
        <v>255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45553</v>
      </c>
      <c r="B248" s="6" t="n">
        <v>1525.54</v>
      </c>
      <c r="C248" s="6" t="n">
        <v>1525.54</v>
      </c>
      <c r="D248" s="16" t="s">
        <v>255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45553</v>
      </c>
      <c r="B249" s="6" t="n">
        <v>-987.94</v>
      </c>
      <c r="C249" s="6" t="n">
        <v>-987.94</v>
      </c>
      <c r="D249" s="16" t="s">
        <v>366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45553</v>
      </c>
      <c r="B250" s="6" t="n">
        <v>-504.6</v>
      </c>
      <c r="C250" s="6" t="n">
        <v>-504.6</v>
      </c>
      <c r="D250" s="16" t="s">
        <v>303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45559</v>
      </c>
      <c r="B251" s="6" t="n">
        <v>11007.06</v>
      </c>
      <c r="C251" s="6" t="n">
        <v>11007.06</v>
      </c>
      <c r="D251" s="16" t="s">
        <v>255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45559</v>
      </c>
      <c r="B252" s="6" t="n">
        <v>-55.32</v>
      </c>
      <c r="C252" s="6" t="n">
        <v>-55.32</v>
      </c>
      <c r="D252" s="16" t="s">
        <v>305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45559</v>
      </c>
      <c r="B253" s="6" t="n">
        <v>-660</v>
      </c>
      <c r="C253" s="6" t="n">
        <v>-660</v>
      </c>
      <c r="D253" s="16" t="s">
        <v>367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45560</v>
      </c>
      <c r="B254" s="6" t="n">
        <v>-94.7</v>
      </c>
      <c r="C254" s="6" t="n">
        <v>-94.7</v>
      </c>
      <c r="D254" s="16" t="s">
        <v>307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45560</v>
      </c>
      <c r="B255" s="6" t="n">
        <v>-1952</v>
      </c>
      <c r="C255" s="6" t="n">
        <v>-1952</v>
      </c>
      <c r="D255" s="16" t="s">
        <v>368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45560</v>
      </c>
      <c r="B256" s="6" t="n">
        <v>-760.6</v>
      </c>
      <c r="C256" s="6" t="n">
        <v>-760.6</v>
      </c>
      <c r="D256" s="16" t="s">
        <v>369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45560</v>
      </c>
      <c r="B257" s="6" t="n">
        <v>-77.44</v>
      </c>
      <c r="C257" s="6" t="n">
        <v>-77.44</v>
      </c>
      <c r="D257" s="16" t="s">
        <v>341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45560</v>
      </c>
      <c r="B258" s="6" t="n">
        <v>3192.06</v>
      </c>
      <c r="C258" s="6" t="n">
        <v>3192.06</v>
      </c>
      <c r="D258" s="16" t="s">
        <v>255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45560</v>
      </c>
      <c r="B259" s="6" t="n">
        <v>660</v>
      </c>
      <c r="C259" s="6" t="n">
        <v>660</v>
      </c>
      <c r="D259" s="16" t="s">
        <v>370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45562</v>
      </c>
      <c r="B260" s="6" t="n">
        <v>-105.2</v>
      </c>
      <c r="C260" s="6" t="n">
        <v>-105.2</v>
      </c>
      <c r="D260" s="16" t="s">
        <v>371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45565</v>
      </c>
      <c r="B261" s="6" t="n">
        <v>-339.43</v>
      </c>
      <c r="C261" s="6" t="n">
        <v>-339.43</v>
      </c>
      <c r="D261" s="16" t="s">
        <v>372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45566</v>
      </c>
      <c r="B262" s="6" t="n">
        <v>-390.7</v>
      </c>
      <c r="C262" s="6" t="n">
        <v>-390.7</v>
      </c>
      <c r="D262" s="16" t="s">
        <v>373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45566</v>
      </c>
      <c r="B263" s="6" t="n">
        <v>-33.5</v>
      </c>
      <c r="C263" s="6" t="n">
        <v>-33.5</v>
      </c>
      <c r="D263" s="16" t="s">
        <v>374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45567</v>
      </c>
      <c r="B264" s="6" t="n">
        <v>1779.47</v>
      </c>
      <c r="C264" s="6" t="n">
        <v>1779.47</v>
      </c>
      <c r="D264" s="16" t="s">
        <v>255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45567</v>
      </c>
      <c r="B265" s="6" t="n">
        <v>730.13</v>
      </c>
      <c r="C265" s="6" t="n">
        <v>730.13</v>
      </c>
      <c r="D265" s="16" t="s">
        <v>346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45567</v>
      </c>
      <c r="B266" s="6" t="n">
        <v>-1502.55</v>
      </c>
      <c r="C266" s="6" t="n">
        <v>-1502.55</v>
      </c>
      <c r="D266" s="16" t="s">
        <v>375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45567</v>
      </c>
      <c r="B267" s="6" t="n">
        <v>-44.6</v>
      </c>
      <c r="C267" s="6" t="n">
        <v>-44.6</v>
      </c>
      <c r="D267" s="16" t="s">
        <v>376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45567</v>
      </c>
      <c r="B268" s="6" t="n">
        <v>-68.82</v>
      </c>
      <c r="C268" s="6" t="n">
        <v>-68.82</v>
      </c>
      <c r="D268" s="16" t="s">
        <v>357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45568</v>
      </c>
      <c r="B269" s="6" t="n">
        <v>351.68</v>
      </c>
      <c r="C269" s="6" t="n">
        <v>351.68</v>
      </c>
      <c r="D269" s="16" t="s">
        <v>255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45568</v>
      </c>
      <c r="B270" s="6" t="n">
        <v>-102.68</v>
      </c>
      <c r="C270" s="6" t="n">
        <v>-102.68</v>
      </c>
      <c r="D270" s="16" t="s">
        <v>310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45571</v>
      </c>
      <c r="B271" s="6" t="n">
        <v>-35</v>
      </c>
      <c r="C271" s="6" t="n">
        <v>-35</v>
      </c>
      <c r="D271" s="16" t="s">
        <v>272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45572</v>
      </c>
      <c r="B272" s="6" t="n">
        <v>-18.36</v>
      </c>
      <c r="C272" s="6" t="n">
        <v>-18.36</v>
      </c>
      <c r="D272" s="16" t="s">
        <v>288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45573</v>
      </c>
      <c r="B273" s="6" t="n">
        <v>-77.76</v>
      </c>
      <c r="C273" s="6" t="n">
        <v>-77.76</v>
      </c>
      <c r="D273" s="16" t="s">
        <v>283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45574</v>
      </c>
      <c r="B274" s="6" t="n">
        <v>97.12</v>
      </c>
      <c r="C274" s="6" t="n">
        <v>97.12</v>
      </c>
      <c r="D274" s="16" t="s">
        <v>255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45575</v>
      </c>
      <c r="B275" s="6" t="n">
        <v>-35.08</v>
      </c>
      <c r="C275" s="6" t="n">
        <v>-35.08</v>
      </c>
      <c r="D275" s="16" t="s">
        <v>285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45576</v>
      </c>
      <c r="B276" s="6" t="n">
        <v>-154.5</v>
      </c>
      <c r="C276" s="6" t="n">
        <v>-154.5</v>
      </c>
      <c r="D276" s="16" t="s">
        <v>377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45576</v>
      </c>
      <c r="B277" s="6" t="n">
        <v>-114.5</v>
      </c>
      <c r="C277" s="6" t="n">
        <v>-114.5</v>
      </c>
      <c r="D277" s="16" t="s">
        <v>311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45576</v>
      </c>
      <c r="B278" s="6" t="n">
        <v>-70</v>
      </c>
      <c r="C278" s="6" t="n">
        <v>-70</v>
      </c>
      <c r="D278" s="16" t="s">
        <v>378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45579</v>
      </c>
      <c r="B279" s="6" t="n">
        <v>-542.52</v>
      </c>
      <c r="C279" s="6" t="n">
        <v>-542.52</v>
      </c>
      <c r="D279" s="16" t="s">
        <v>379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45582</v>
      </c>
      <c r="B280" s="6" t="n">
        <v>-21.94</v>
      </c>
      <c r="C280" s="6" t="n">
        <v>-21.94</v>
      </c>
      <c r="D280" s="16" t="s">
        <v>380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45584</v>
      </c>
      <c r="B281" s="6" t="n">
        <v>-86.6</v>
      </c>
      <c r="C281" s="6" t="n">
        <v>-86.6</v>
      </c>
      <c r="D281" s="16" t="s">
        <v>381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45589</v>
      </c>
      <c r="B282" s="6" t="n">
        <v>-175.96</v>
      </c>
      <c r="C282" s="6" t="n">
        <v>-175.96</v>
      </c>
      <c r="D282" s="16" t="s">
        <v>382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45589</v>
      </c>
      <c r="B283" s="6" t="n">
        <v>-156.52</v>
      </c>
      <c r="C283" s="6" t="n">
        <v>-156.52</v>
      </c>
      <c r="D283" s="16" t="s">
        <v>383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45590</v>
      </c>
      <c r="B284" s="6" t="n">
        <v>-77.44</v>
      </c>
      <c r="C284" s="6" t="n">
        <v>-77.44</v>
      </c>
      <c r="D284" s="16" t="s">
        <v>341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45594</v>
      </c>
      <c r="B285" s="6" t="n">
        <v>1587.02</v>
      </c>
      <c r="C285" s="6" t="n">
        <v>1587.02</v>
      </c>
      <c r="D285" s="16" t="s">
        <v>255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45596</v>
      </c>
      <c r="B286" s="6" t="n">
        <v>-328.37</v>
      </c>
      <c r="C286" s="6" t="n">
        <v>-328.37</v>
      </c>
      <c r="D286" s="16" t="s">
        <v>384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45597</v>
      </c>
      <c r="B287" s="6" t="n">
        <v>328.37</v>
      </c>
      <c r="C287" s="6" t="n">
        <v>328.37</v>
      </c>
      <c r="D287" s="16" t="s">
        <v>385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45597</v>
      </c>
      <c r="B288" s="6" t="n">
        <v>-360.3</v>
      </c>
      <c r="C288" s="6" t="n">
        <v>-360.3</v>
      </c>
      <c r="D288" s="16" t="s">
        <v>386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45597</v>
      </c>
      <c r="B289" s="6" t="n">
        <v>-32.45</v>
      </c>
      <c r="C289" s="6" t="n">
        <v>-32.45</v>
      </c>
      <c r="D289" s="16" t="s">
        <v>387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45597</v>
      </c>
      <c r="B290" s="6" t="n">
        <v>-68.82</v>
      </c>
      <c r="C290" s="6" t="n">
        <v>-68.82</v>
      </c>
      <c r="D290" s="16" t="s">
        <v>357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45598</v>
      </c>
      <c r="B291" s="6" t="n">
        <v>-43.7</v>
      </c>
      <c r="C291" s="6" t="n">
        <v>-43.7</v>
      </c>
      <c r="D291" s="16" t="s">
        <v>388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45598</v>
      </c>
      <c r="B292" s="6" t="n">
        <v>360.3</v>
      </c>
      <c r="C292" s="6" t="n">
        <v>360.3</v>
      </c>
      <c r="D292" s="16" t="s">
        <v>346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45601</v>
      </c>
      <c r="B293" s="6" t="n">
        <v>130.3</v>
      </c>
      <c r="C293" s="6" t="n">
        <v>130.3</v>
      </c>
      <c r="D293" s="16" t="s">
        <v>255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45602</v>
      </c>
      <c r="B294" s="6" t="n">
        <v>-18.36</v>
      </c>
      <c r="C294" s="6" t="n">
        <v>-18.36</v>
      </c>
      <c r="D294" s="16" t="s">
        <v>288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45603</v>
      </c>
      <c r="B295" s="6" t="n">
        <v>12095.41</v>
      </c>
      <c r="C295" s="6" t="n">
        <v>12095.41</v>
      </c>
      <c r="D295" s="16" t="s">
        <v>255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45605</v>
      </c>
      <c r="B296" s="6" t="n">
        <v>-35.08</v>
      </c>
      <c r="C296" s="6" t="n">
        <v>-35.08</v>
      </c>
      <c r="D296" s="16" t="s">
        <v>285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45605</v>
      </c>
      <c r="B297" s="6" t="n">
        <v>-400</v>
      </c>
      <c r="C297" s="6" t="n">
        <v>-400</v>
      </c>
      <c r="D297" s="16" t="s">
        <v>389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45606</v>
      </c>
      <c r="B298" s="6" t="n">
        <v>-114.5</v>
      </c>
      <c r="C298" s="6" t="n">
        <v>-114.5</v>
      </c>
      <c r="D298" s="16" t="s">
        <v>311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45607</v>
      </c>
      <c r="B299" s="6" t="n">
        <v>400</v>
      </c>
      <c r="C299" s="6" t="n">
        <v>400</v>
      </c>
      <c r="D299" s="16" t="s">
        <v>390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45609</v>
      </c>
      <c r="B300" s="6" t="n">
        <v>-310.5</v>
      </c>
      <c r="C300" s="6" t="n">
        <v>-310.5</v>
      </c>
      <c r="D300" s="16" t="s">
        <v>316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45609</v>
      </c>
      <c r="B301" s="6" t="n">
        <v>-500</v>
      </c>
      <c r="C301" s="6" t="n">
        <v>-500</v>
      </c>
      <c r="D301" s="16" t="s">
        <v>391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45610</v>
      </c>
      <c r="B302" s="6" t="n">
        <v>-173.45</v>
      </c>
      <c r="C302" s="6" t="n">
        <v>-173.45</v>
      </c>
      <c r="D302" s="16" t="s">
        <v>290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45610</v>
      </c>
      <c r="B303" s="6" t="n">
        <v>500</v>
      </c>
      <c r="C303" s="6" t="n">
        <v>500</v>
      </c>
      <c r="D303" s="16" t="s">
        <v>392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45615</v>
      </c>
      <c r="B304" s="6" t="n">
        <v>-128.28</v>
      </c>
      <c r="C304" s="6" t="n">
        <v>-128.28</v>
      </c>
      <c r="D304" s="16" t="s">
        <v>393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45615</v>
      </c>
      <c r="B305" s="6" t="n">
        <v>-82.74</v>
      </c>
      <c r="C305" s="6" t="n">
        <v>-82.74</v>
      </c>
      <c r="D305" s="16" t="s">
        <v>292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45616</v>
      </c>
      <c r="B306" s="6" t="n">
        <v>-148.8</v>
      </c>
      <c r="C306" s="6" t="n">
        <v>-148.8</v>
      </c>
      <c r="D306" s="16" t="s">
        <v>351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45616</v>
      </c>
      <c r="B307" s="6" t="n">
        <v>-247.2</v>
      </c>
      <c r="C307" s="6" t="n">
        <v>-247.2</v>
      </c>
      <c r="D307" s="16" t="s">
        <v>394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45616</v>
      </c>
      <c r="B308" s="6" t="n">
        <v>-532.04</v>
      </c>
      <c r="C308" s="6" t="n">
        <v>-532.04</v>
      </c>
      <c r="D308" s="16" t="s">
        <v>352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45620</v>
      </c>
      <c r="B309" s="6" t="n">
        <v>-77.44</v>
      </c>
      <c r="C309" s="6" t="n">
        <v>-77.44</v>
      </c>
      <c r="D309" s="16" t="s">
        <v>341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45621</v>
      </c>
      <c r="B310" s="6" t="n">
        <v>263.47</v>
      </c>
      <c r="C310" s="6" t="n">
        <v>263.47</v>
      </c>
      <c r="D310" s="16" t="s">
        <v>255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45621</v>
      </c>
      <c r="B311" s="6" t="n">
        <v>-79.6</v>
      </c>
      <c r="C311" s="6" t="n">
        <v>-79.6</v>
      </c>
      <c r="D311" s="16" t="s">
        <v>294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45622</v>
      </c>
      <c r="B312" s="6" t="n">
        <v>77.44</v>
      </c>
      <c r="C312" s="6" t="n">
        <v>77.44</v>
      </c>
      <c r="D312" s="16" t="s">
        <v>255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45623</v>
      </c>
      <c r="B313" s="6" t="n">
        <v>8400</v>
      </c>
      <c r="C313" s="6" t="n">
        <v>8400</v>
      </c>
      <c r="D313" s="16" t="s">
        <v>255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45623</v>
      </c>
      <c r="B314" s="6" t="n">
        <v>-1144.6</v>
      </c>
      <c r="C314" s="6" t="n">
        <v>-1144.6</v>
      </c>
      <c r="D314" s="16" t="s">
        <v>395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45623</v>
      </c>
      <c r="B315" s="6" t="n">
        <v>-1401.58</v>
      </c>
      <c r="C315" s="6" t="n">
        <v>-1401.58</v>
      </c>
      <c r="D315" s="16" t="s">
        <v>396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45625</v>
      </c>
      <c r="B316" s="6" t="n">
        <v>-64.43</v>
      </c>
      <c r="C316" s="6" t="n">
        <v>-64.43</v>
      </c>
      <c r="D316" s="16" t="s">
        <v>295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45626</v>
      </c>
      <c r="B317" s="6" t="n">
        <v>-318.64</v>
      </c>
      <c r="C317" s="6" t="n">
        <v>-318.64</v>
      </c>
      <c r="D317" s="16" t="s">
        <v>397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45627</v>
      </c>
      <c r="B318" s="6" t="n">
        <v>-363.7</v>
      </c>
      <c r="C318" s="6" t="n">
        <v>-363.7</v>
      </c>
      <c r="D318" s="16" t="s">
        <v>398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45627</v>
      </c>
      <c r="B319" s="6" t="n">
        <v>-68.82</v>
      </c>
      <c r="C319" s="6" t="n">
        <v>-68.82</v>
      </c>
      <c r="D319" s="16" t="s">
        <v>357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45627</v>
      </c>
      <c r="B320" s="6" t="n">
        <v>-30.09</v>
      </c>
      <c r="C320" s="6" t="n">
        <v>-30.09</v>
      </c>
      <c r="D320" s="16" t="s">
        <v>399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45628</v>
      </c>
      <c r="B321" s="6" t="n">
        <v>-38.8</v>
      </c>
      <c r="C321" s="6" t="n">
        <v>-38.8</v>
      </c>
      <c r="D321" s="16" t="s">
        <v>400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45628</v>
      </c>
      <c r="B322" s="6" t="n">
        <v>-70</v>
      </c>
      <c r="C322" s="6" t="n">
        <v>-70</v>
      </c>
      <c r="D322" s="16" t="s">
        <v>401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45628</v>
      </c>
      <c r="B323" s="6" t="n">
        <v>682.34</v>
      </c>
      <c r="C323" s="6" t="n">
        <v>682.34</v>
      </c>
      <c r="D323" s="16" t="s">
        <v>346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45629</v>
      </c>
      <c r="B324" s="6" t="n">
        <v>-244.5</v>
      </c>
      <c r="C324" s="6" t="n">
        <v>-244.5</v>
      </c>
      <c r="D324" s="16" t="s">
        <v>402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45630</v>
      </c>
      <c r="B325" s="6" t="n">
        <v>-2710.2</v>
      </c>
      <c r="C325" s="6" t="n">
        <v>-2710.2</v>
      </c>
      <c r="D325" s="16" t="s">
        <v>403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45630</v>
      </c>
      <c r="B326" s="6" t="n">
        <v>-2253.11</v>
      </c>
      <c r="C326" s="6" t="n">
        <v>-2253.11</v>
      </c>
      <c r="D326" s="16" t="s">
        <v>404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45630</v>
      </c>
      <c r="B327" s="6" t="n">
        <v>-1185.6</v>
      </c>
      <c r="C327" s="6" t="n">
        <v>-1185.6</v>
      </c>
      <c r="D327" s="16" t="s">
        <v>405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45632</v>
      </c>
      <c r="B328" s="6" t="n">
        <v>-18.36</v>
      </c>
      <c r="C328" s="6" t="n">
        <v>-18.36</v>
      </c>
      <c r="D328" s="16" t="s">
        <v>288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45632</v>
      </c>
      <c r="B329" s="6" t="n">
        <v>-5.33</v>
      </c>
      <c r="C329" s="6" t="n">
        <v>-5.33</v>
      </c>
      <c r="D329" s="16" t="s">
        <v>406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45634</v>
      </c>
      <c r="B330" s="6" t="n">
        <v>-3000</v>
      </c>
      <c r="C330" s="6" t="n">
        <v>-3000</v>
      </c>
      <c r="D330" s="16" t="s">
        <v>407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45635</v>
      </c>
      <c r="B331" s="6" t="n">
        <v>3000</v>
      </c>
      <c r="C331" s="6" t="n">
        <v>3000</v>
      </c>
      <c r="D331" s="16" t="s">
        <v>408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45635</v>
      </c>
      <c r="B332" s="6" t="n">
        <v>-400</v>
      </c>
      <c r="C332" s="6" t="n">
        <v>-400</v>
      </c>
      <c r="D332" s="16" t="s">
        <v>389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45635</v>
      </c>
      <c r="B333" s="6" t="n">
        <v>-70.78</v>
      </c>
      <c r="C333" s="6" t="n">
        <v>-70.78</v>
      </c>
      <c r="D333" s="16" t="s">
        <v>409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45635</v>
      </c>
      <c r="B334" s="6" t="n">
        <v>-35.08</v>
      </c>
      <c r="C334" s="6" t="n">
        <v>-35.08</v>
      </c>
      <c r="D334" s="16" t="s">
        <v>285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45636</v>
      </c>
      <c r="B335" s="6" t="n">
        <v>-16.56</v>
      </c>
      <c r="C335" s="6" t="n">
        <v>-16.56</v>
      </c>
      <c r="D335" s="16" t="s">
        <v>410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45636</v>
      </c>
      <c r="B336" s="6" t="n">
        <v>-110.2</v>
      </c>
      <c r="C336" s="6" t="n">
        <v>-110.2</v>
      </c>
      <c r="D336" s="16" t="s">
        <v>411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45636</v>
      </c>
      <c r="B337" s="6" t="n">
        <v>400</v>
      </c>
      <c r="C337" s="6" t="n">
        <v>400</v>
      </c>
      <c r="D337" s="16" t="s">
        <v>390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45637</v>
      </c>
      <c r="B338" s="6" t="n">
        <v>-27.13</v>
      </c>
      <c r="C338" s="6" t="n">
        <v>-27.13</v>
      </c>
      <c r="D338" s="16" t="s">
        <v>412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45637</v>
      </c>
      <c r="B339" s="6" t="n">
        <v>16.56</v>
      </c>
      <c r="C339" s="6" t="n">
        <v>16.56</v>
      </c>
      <c r="D339" s="16" t="s">
        <v>413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45639</v>
      </c>
      <c r="B340" s="6" t="n">
        <v>-310.6</v>
      </c>
      <c r="C340" s="6" t="n">
        <v>-310.6</v>
      </c>
      <c r="D340" s="16" t="s">
        <v>365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45639</v>
      </c>
      <c r="B341" s="6" t="n">
        <v>-1132.75</v>
      </c>
      <c r="C341" s="6" t="n">
        <v>-1132.75</v>
      </c>
      <c r="D341" s="16" t="s">
        <v>414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45641</v>
      </c>
      <c r="B342" s="6" t="n">
        <v>-87</v>
      </c>
      <c r="C342" s="6" t="n">
        <v>-87</v>
      </c>
      <c r="D342" s="16" t="s">
        <v>415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45643</v>
      </c>
      <c r="B343" s="6" t="n">
        <v>-447</v>
      </c>
      <c r="C343" s="6" t="n">
        <v>-447</v>
      </c>
      <c r="D343" s="16" t="s">
        <v>416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45643</v>
      </c>
      <c r="B344" s="6" t="n">
        <v>-43.06</v>
      </c>
      <c r="C344" s="6" t="n">
        <v>-43.06</v>
      </c>
      <c r="D344" s="16" t="s">
        <v>417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45649</v>
      </c>
      <c r="B345" s="6" t="n">
        <v>-197.6</v>
      </c>
      <c r="C345" s="6" t="n">
        <v>-197.6</v>
      </c>
      <c r="D345" s="16" t="s">
        <v>418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45650</v>
      </c>
      <c r="B346" s="6" t="n">
        <v>-77.44</v>
      </c>
      <c r="C346" s="6" t="n">
        <v>-77.44</v>
      </c>
      <c r="D346" s="16" t="s">
        <v>341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45650</v>
      </c>
      <c r="B347" s="6" t="n">
        <v>-55.32</v>
      </c>
      <c r="C347" s="6" t="n">
        <v>-55.32</v>
      </c>
      <c r="D347" s="16" t="s">
        <v>305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45657</v>
      </c>
      <c r="B348" s="6" t="n">
        <v>-68.82</v>
      </c>
      <c r="C348" s="6" t="n">
        <v>-68.82</v>
      </c>
      <c r="D348" s="16" t="s">
        <v>357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45657</v>
      </c>
      <c r="B349" s="6" t="n">
        <v>-330.96</v>
      </c>
      <c r="C349" s="6" t="n">
        <v>-330.96</v>
      </c>
      <c r="D349" s="16" t="s">
        <v>419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45658</v>
      </c>
      <c r="B350" s="6" t="n">
        <v>-29.11</v>
      </c>
      <c r="C350" s="6" t="n">
        <v>-29.11</v>
      </c>
      <c r="D350" s="16" t="s">
        <v>420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45658</v>
      </c>
      <c r="B351" s="6" t="n">
        <v>-359.8</v>
      </c>
      <c r="C351" s="6" t="n">
        <v>-359.8</v>
      </c>
      <c r="D351" s="16" t="s">
        <v>421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45659</v>
      </c>
      <c r="B352" s="6" t="n">
        <v>-36.9</v>
      </c>
      <c r="C352" s="6" t="n">
        <v>-36.9</v>
      </c>
      <c r="D352" s="16" t="s">
        <v>422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45659</v>
      </c>
      <c r="B353" s="6" t="n">
        <v>-102.68</v>
      </c>
      <c r="C353" s="6" t="n">
        <v>-102.68</v>
      </c>
      <c r="D353" s="16" t="s">
        <v>310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45662</v>
      </c>
      <c r="B354" s="6" t="n">
        <v>-18.36</v>
      </c>
      <c r="C354" s="6" t="n">
        <v>-18.36</v>
      </c>
      <c r="D354" s="16" t="s">
        <v>288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45663</v>
      </c>
      <c r="B355" s="6" t="n">
        <v>-2000</v>
      </c>
      <c r="C355" s="6" t="n">
        <v>-2000</v>
      </c>
      <c r="D355" s="16" t="s">
        <v>423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45664</v>
      </c>
      <c r="B356" s="6" t="n">
        <v>-77.76</v>
      </c>
      <c r="C356" s="6" t="n">
        <v>-77.76</v>
      </c>
      <c r="D356" s="16" t="s">
        <v>283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45665</v>
      </c>
      <c r="B357" s="6" t="n">
        <v>-400</v>
      </c>
      <c r="C357" s="6" t="n">
        <v>-400</v>
      </c>
      <c r="D357" s="16" t="s">
        <v>389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45666</v>
      </c>
      <c r="B358" s="6" t="n">
        <v>-105</v>
      </c>
      <c r="C358" s="6" t="n">
        <v>-105</v>
      </c>
      <c r="D358" s="16" t="s">
        <v>424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45667</v>
      </c>
      <c r="B359" s="6" t="n">
        <v>-144.15</v>
      </c>
      <c r="C359" s="6" t="n">
        <v>-144.15</v>
      </c>
      <c r="D359" s="16" t="s">
        <v>425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45667</v>
      </c>
      <c r="B360" s="6" t="n">
        <v>-3711.99</v>
      </c>
      <c r="C360" s="6" t="n">
        <v>-3711.99</v>
      </c>
      <c r="D360" s="16" t="s">
        <v>426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45667</v>
      </c>
      <c r="B361" s="6" t="n">
        <v>690.76</v>
      </c>
      <c r="C361" s="6" t="n">
        <v>690.76</v>
      </c>
      <c r="D361" s="16" t="s">
        <v>427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45670</v>
      </c>
      <c r="B362" s="6" t="n">
        <v>2400</v>
      </c>
      <c r="C362" s="6" t="n">
        <v>2400</v>
      </c>
      <c r="D362" s="16" t="s">
        <v>390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45673</v>
      </c>
      <c r="B363" s="6" t="n">
        <v>-6.93</v>
      </c>
      <c r="C363" s="6" t="n">
        <v>-6.93</v>
      </c>
      <c r="D363" s="16" t="s">
        <v>428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45680</v>
      </c>
      <c r="B364" s="6" t="n">
        <v>-175.96</v>
      </c>
      <c r="C364" s="6" t="n">
        <v>-175.96</v>
      </c>
      <c r="D364" s="16" t="s">
        <v>382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45680</v>
      </c>
      <c r="B365" s="6" t="n">
        <v>-77.44</v>
      </c>
      <c r="C365" s="6" t="n">
        <v>-77.44</v>
      </c>
      <c r="D365" s="16" t="s">
        <v>341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45680</v>
      </c>
      <c r="B366" s="6" t="n">
        <v>-156.52</v>
      </c>
      <c r="C366" s="6" t="n">
        <v>-156.52</v>
      </c>
      <c r="D366" s="16" t="s">
        <v>383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45687</v>
      </c>
      <c r="B367" s="6" t="n">
        <v>-68.82</v>
      </c>
      <c r="C367" s="6" t="n">
        <v>-68.82</v>
      </c>
      <c r="D367" s="16" t="s">
        <v>357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45688</v>
      </c>
      <c r="B368" s="6" t="n">
        <v>-173.45</v>
      </c>
      <c r="C368" s="6" t="n">
        <v>-173.45</v>
      </c>
      <c r="D368" s="16" t="s">
        <v>429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45688</v>
      </c>
      <c r="B369" s="6" t="n">
        <v>-297.99</v>
      </c>
      <c r="C369" s="6" t="n">
        <v>-297.99</v>
      </c>
      <c r="D369" s="16" t="s">
        <v>430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45689</v>
      </c>
      <c r="B370" s="6" t="n">
        <v>-26.87</v>
      </c>
      <c r="C370" s="6" t="n">
        <v>-26.87</v>
      </c>
      <c r="D370" s="16" t="s">
        <v>431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45689</v>
      </c>
      <c r="B371" s="6" t="n">
        <v>-329.6</v>
      </c>
      <c r="C371" s="6" t="n">
        <v>-329.6</v>
      </c>
      <c r="D371" s="16" t="s">
        <v>432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45690</v>
      </c>
      <c r="B372" s="6" t="n">
        <v>-34.6</v>
      </c>
      <c r="C372" s="6" t="n">
        <v>-34.6</v>
      </c>
      <c r="D372" s="16" t="s">
        <v>433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45691</v>
      </c>
      <c r="B373" s="6" t="n">
        <v>627.59</v>
      </c>
      <c r="C373" s="6" t="n">
        <v>627.59</v>
      </c>
      <c r="D373" s="16" t="s">
        <v>434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45692</v>
      </c>
      <c r="B374" s="6" t="n">
        <v>-18.36</v>
      </c>
      <c r="C374" s="6" t="n">
        <v>-18.36</v>
      </c>
      <c r="D374" s="16" t="s">
        <v>288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45695</v>
      </c>
      <c r="B375" s="6" t="n">
        <v>-400</v>
      </c>
      <c r="C375" s="6" t="n">
        <v>-400</v>
      </c>
      <c r="D375" s="16" t="s">
        <v>389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45696</v>
      </c>
      <c r="B376" s="6" t="n">
        <v>-100.7</v>
      </c>
      <c r="C376" s="6" t="n">
        <v>-100.7</v>
      </c>
      <c r="D376" s="16" t="s">
        <v>435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45698</v>
      </c>
      <c r="B377" s="6" t="n">
        <v>400</v>
      </c>
      <c r="C377" s="6" t="n">
        <v>400</v>
      </c>
      <c r="D377" s="16" t="s">
        <v>390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45700</v>
      </c>
      <c r="B378" s="6" t="n">
        <v>-2429</v>
      </c>
      <c r="C378" s="6" t="n">
        <v>-2429</v>
      </c>
      <c r="D378" s="16" t="s">
        <v>349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45700</v>
      </c>
      <c r="B379" s="6" t="n">
        <v>-500</v>
      </c>
      <c r="C379" s="6" t="n">
        <v>-500</v>
      </c>
      <c r="D379" s="16" t="s">
        <v>391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45701</v>
      </c>
      <c r="B380" s="6" t="n">
        <v>-156.5</v>
      </c>
      <c r="C380" s="6" t="n">
        <v>-156.5</v>
      </c>
      <c r="D380" s="16" t="s">
        <v>436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45701</v>
      </c>
      <c r="B381" s="6" t="n">
        <v>500</v>
      </c>
      <c r="C381" s="6" t="n">
        <v>500</v>
      </c>
      <c r="D381" s="16" t="s">
        <v>392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45702</v>
      </c>
      <c r="B382" s="6" t="n">
        <v>-115.64</v>
      </c>
      <c r="C382" s="6" t="n">
        <v>-115.64</v>
      </c>
      <c r="D382" s="16" t="s">
        <v>291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45706</v>
      </c>
      <c r="B383" s="6" t="n">
        <v>-82.74</v>
      </c>
      <c r="C383" s="6" t="n">
        <v>-82.74</v>
      </c>
      <c r="D383" s="16" t="s">
        <v>292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45707</v>
      </c>
      <c r="B384" s="6" t="n">
        <v>-148.8</v>
      </c>
      <c r="C384" s="6" t="n">
        <v>-148.8</v>
      </c>
      <c r="D384" s="16" t="s">
        <v>351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45707</v>
      </c>
      <c r="B385" s="6" t="n">
        <v>-532.04</v>
      </c>
      <c r="C385" s="6" t="n">
        <v>-532.04</v>
      </c>
      <c r="D385" s="16" t="s">
        <v>352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45710</v>
      </c>
      <c r="B386" s="6" t="n">
        <v>-77.44</v>
      </c>
      <c r="C386" s="6" t="n">
        <v>-77.44</v>
      </c>
      <c r="D386" s="16" t="s">
        <v>341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45712</v>
      </c>
      <c r="B387" s="6" t="n">
        <v>-79.6</v>
      </c>
      <c r="C387" s="6" t="n">
        <v>-79.6</v>
      </c>
      <c r="D387" s="16" t="s">
        <v>294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45716</v>
      </c>
      <c r="B388" s="6" t="n">
        <v>-64.43</v>
      </c>
      <c r="C388" s="6" t="n">
        <v>-64.43</v>
      </c>
      <c r="D388" s="16" t="s">
        <v>295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45716</v>
      </c>
      <c r="B389" s="6" t="n">
        <v>-273.49</v>
      </c>
      <c r="C389" s="6" t="n">
        <v>-273.49</v>
      </c>
      <c r="D389" s="16" t="s">
        <v>437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45717</v>
      </c>
      <c r="B390" s="6" t="n">
        <v>-23.04</v>
      </c>
      <c r="C390" s="6" t="n">
        <v>-23.04</v>
      </c>
      <c r="D390" s="16" t="s">
        <v>438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45717</v>
      </c>
      <c r="B391" s="6" t="n">
        <v>-68.82</v>
      </c>
      <c r="C391" s="6" t="n">
        <v>-68.82</v>
      </c>
      <c r="D391" s="16" t="s">
        <v>357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45717</v>
      </c>
      <c r="B392" s="6" t="n">
        <v>-306.6</v>
      </c>
      <c r="C392" s="6" t="n">
        <v>-306.6</v>
      </c>
      <c r="D392" s="16" t="s">
        <v>439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45718</v>
      </c>
      <c r="B393" s="6" t="n">
        <v>-29</v>
      </c>
      <c r="C393" s="6" t="n">
        <v>-29</v>
      </c>
      <c r="D393" s="16" t="s">
        <v>440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45721</v>
      </c>
      <c r="B394" s="6" t="n">
        <v>-200.6</v>
      </c>
      <c r="C394" s="6" t="n">
        <v>-200.6</v>
      </c>
      <c r="D394" s="16" t="s">
        <v>297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45721</v>
      </c>
      <c r="B395" s="6" t="n">
        <v>580.09</v>
      </c>
      <c r="C395" s="6" t="n">
        <v>580.09</v>
      </c>
      <c r="D395" s="16" t="s">
        <v>441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45722</v>
      </c>
      <c r="B396" s="6" t="n">
        <v>-18.36</v>
      </c>
      <c r="C396" s="6" t="n">
        <v>-18.36</v>
      </c>
      <c r="D396" s="16" t="s">
        <v>288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45725</v>
      </c>
      <c r="B397" s="6" t="n">
        <v>-400</v>
      </c>
      <c r="C397" s="6" t="n">
        <v>-400</v>
      </c>
      <c r="D397" s="16" t="s">
        <v>389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45726</v>
      </c>
      <c r="B398" s="6" t="n">
        <v>400</v>
      </c>
      <c r="C398" s="6" t="n">
        <v>400</v>
      </c>
      <c r="D398" s="16" t="s">
        <v>390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45726</v>
      </c>
      <c r="B399" s="6" t="n">
        <v>-96.5</v>
      </c>
      <c r="C399" s="6" t="n">
        <v>-96.5</v>
      </c>
      <c r="D399" s="16" t="s">
        <v>442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45727</v>
      </c>
      <c r="B400" s="6" t="n">
        <v>-17.25</v>
      </c>
      <c r="C400" s="6" t="n">
        <v>-17.25</v>
      </c>
      <c r="D400" s="16" t="s">
        <v>443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45728</v>
      </c>
      <c r="B401" s="6" t="n">
        <v>17.25</v>
      </c>
      <c r="C401" s="6" t="n">
        <v>17.25</v>
      </c>
      <c r="D401" s="16" t="s">
        <v>444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45728</v>
      </c>
      <c r="B402" s="6" t="n">
        <v>-29.99</v>
      </c>
      <c r="C402" s="6" t="n">
        <v>-29.99</v>
      </c>
      <c r="D402" s="16" t="s">
        <v>445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45730</v>
      </c>
      <c r="B403" s="6" t="n">
        <v>-310.6</v>
      </c>
      <c r="C403" s="6" t="n">
        <v>-310.6</v>
      </c>
      <c r="D403" s="16" t="s">
        <v>365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45735</v>
      </c>
      <c r="B404" s="6" t="n">
        <v>-987.94</v>
      </c>
      <c r="C404" s="6" t="n">
        <v>-987.94</v>
      </c>
      <c r="D404" s="16" t="s">
        <v>366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45735</v>
      </c>
      <c r="B405" s="6" t="n">
        <v>-504.6</v>
      </c>
      <c r="C405" s="6" t="n">
        <v>-504.6</v>
      </c>
      <c r="D405" s="16" t="s">
        <v>303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45740</v>
      </c>
      <c r="B406" s="6" t="n">
        <v>-77.44</v>
      </c>
      <c r="C406" s="6" t="n">
        <v>-77.44</v>
      </c>
      <c r="D406" s="16" t="s">
        <v>341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45741</v>
      </c>
      <c r="B407" s="6" t="n">
        <v>-660</v>
      </c>
      <c r="C407" s="6" t="n">
        <v>-660</v>
      </c>
      <c r="D407" s="16" t="s">
        <v>367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45741</v>
      </c>
      <c r="B408" s="6" t="n">
        <v>-55.32</v>
      </c>
      <c r="C408" s="6" t="n">
        <v>-55.32</v>
      </c>
      <c r="D408" s="16" t="s">
        <v>305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45742</v>
      </c>
      <c r="B409" s="6" t="n">
        <v>660</v>
      </c>
      <c r="C409" s="6" t="n">
        <v>660</v>
      </c>
      <c r="D409" s="16" t="s">
        <v>370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45742</v>
      </c>
      <c r="B410" s="6" t="n">
        <v>-63.82</v>
      </c>
      <c r="C410" s="6" t="n">
        <v>-63.82</v>
      </c>
      <c r="D410" s="16" t="s">
        <v>446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45742</v>
      </c>
      <c r="B411" s="6" t="n">
        <v>-1952</v>
      </c>
      <c r="C411" s="6" t="n">
        <v>-1952</v>
      </c>
      <c r="D411" s="16" t="s">
        <v>368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45742</v>
      </c>
      <c r="B412" s="6" t="n">
        <v>-1770.56</v>
      </c>
      <c r="C412" s="6" t="n">
        <v>-1770.56</v>
      </c>
      <c r="D412" s="16" t="s">
        <v>447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45747</v>
      </c>
      <c r="B413" s="6" t="n">
        <v>-68.82</v>
      </c>
      <c r="C413" s="6" t="n">
        <v>-68.82</v>
      </c>
      <c r="D413" s="16" t="s">
        <v>357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45747</v>
      </c>
      <c r="B414" s="6" t="n">
        <v>-255.92</v>
      </c>
      <c r="C414" s="6" t="n">
        <v>-255.92</v>
      </c>
      <c r="D414" s="16" t="s">
        <v>448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45748</v>
      </c>
      <c r="B415" s="6" t="n">
        <v>255.92</v>
      </c>
      <c r="C415" s="6" t="n">
        <v>255.92</v>
      </c>
      <c r="D415" s="16" t="s">
        <v>449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45748</v>
      </c>
      <c r="B416" s="6" t="n">
        <v>-301.7</v>
      </c>
      <c r="C416" s="6" t="n">
        <v>-301.7</v>
      </c>
      <c r="D416" s="16" t="s">
        <v>450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45748</v>
      </c>
      <c r="B417" s="6" t="n">
        <v>-22.95</v>
      </c>
      <c r="C417" s="6" t="n">
        <v>-22.95</v>
      </c>
      <c r="D417" s="16" t="s">
        <v>451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45749</v>
      </c>
      <c r="B418" s="6" t="n">
        <v>-29.6</v>
      </c>
      <c r="C418" s="6" t="n">
        <v>-29.6</v>
      </c>
      <c r="D418" s="16" t="s">
        <v>452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45749</v>
      </c>
      <c r="B419" s="6" t="n">
        <v>-1502.55</v>
      </c>
      <c r="C419" s="6" t="n">
        <v>-1502.55</v>
      </c>
      <c r="D419" s="16" t="s">
        <v>375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45749</v>
      </c>
      <c r="B420" s="6" t="n">
        <v>301.7</v>
      </c>
      <c r="C420" s="6" t="n">
        <v>301.7</v>
      </c>
      <c r="D420" s="16" t="s">
        <v>346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45750</v>
      </c>
      <c r="B421" s="6" t="n">
        <v>-102.68</v>
      </c>
      <c r="C421" s="6" t="n">
        <v>-102.68</v>
      </c>
      <c r="D421" s="16" t="s">
        <v>310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45752</v>
      </c>
      <c r="B422" s="6" t="n">
        <v>-18.36</v>
      </c>
      <c r="C422" s="6" t="n">
        <v>-18.36</v>
      </c>
      <c r="D422" s="16" t="s">
        <v>288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45755</v>
      </c>
      <c r="B423" s="6" t="n">
        <v>-400</v>
      </c>
      <c r="C423" s="6" t="n">
        <v>-400</v>
      </c>
      <c r="D423" s="16" t="s">
        <v>389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45756</v>
      </c>
      <c r="B424" s="6" t="n">
        <v>-91.2</v>
      </c>
      <c r="C424" s="6" t="n">
        <v>-91.2</v>
      </c>
      <c r="D424" s="16" t="s">
        <v>453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45757</v>
      </c>
      <c r="B425" s="6" t="n">
        <v>400</v>
      </c>
      <c r="C425" s="6" t="n">
        <v>400</v>
      </c>
      <c r="D425" s="16" t="s">
        <v>390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45758</v>
      </c>
      <c r="B426" s="6" t="n">
        <v>-144.15</v>
      </c>
      <c r="C426" s="6" t="n">
        <v>-144.15</v>
      </c>
      <c r="D426" s="16" t="s">
        <v>425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45770</v>
      </c>
      <c r="B427" s="6" t="n">
        <v>-77.44</v>
      </c>
      <c r="C427" s="6" t="n">
        <v>-77.44</v>
      </c>
      <c r="D427" s="16" t="s">
        <v>341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45771</v>
      </c>
      <c r="B428" s="6" t="n">
        <v>-156.52</v>
      </c>
      <c r="C428" s="6" t="n">
        <v>-156.52</v>
      </c>
      <c r="D428" s="16" t="s">
        <v>383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45771</v>
      </c>
      <c r="B429" s="6" t="n">
        <v>-175.96</v>
      </c>
      <c r="C429" s="6" t="n">
        <v>-175.96</v>
      </c>
      <c r="D429" s="16" t="s">
        <v>382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45772</v>
      </c>
      <c r="B430" s="6" t="n">
        <v>-635</v>
      </c>
      <c r="C430" s="6" t="n">
        <v>-635</v>
      </c>
      <c r="D430" s="16" t="s">
        <v>454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45775</v>
      </c>
      <c r="B431" s="6" t="n">
        <v>-203.25</v>
      </c>
      <c r="C431" s="6" t="n">
        <v>-203.25</v>
      </c>
      <c r="D431" s="16" t="s">
        <v>455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45776</v>
      </c>
      <c r="B432" s="6" t="n">
        <v>-68</v>
      </c>
      <c r="C432" s="6" t="n">
        <v>-68</v>
      </c>
      <c r="D432" s="16" t="s">
        <v>271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45777</v>
      </c>
      <c r="B433" s="6" t="n">
        <v>-68.82</v>
      </c>
      <c r="C433" s="6" t="n">
        <v>-68.82</v>
      </c>
      <c r="D433" s="16" t="s">
        <v>357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45777</v>
      </c>
      <c r="B434" s="6" t="n">
        <v>-253.82</v>
      </c>
      <c r="C434" s="6" t="n">
        <v>-253.82</v>
      </c>
      <c r="D434" s="16" t="s">
        <v>456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45778</v>
      </c>
      <c r="B435" s="6" t="n">
        <v>-21.43</v>
      </c>
      <c r="C435" s="6" t="n">
        <v>-21.43</v>
      </c>
      <c r="D435" s="16" t="s">
        <v>457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45778</v>
      </c>
      <c r="B436" s="6" t="n">
        <v>-309</v>
      </c>
      <c r="C436" s="6" t="n">
        <v>-309</v>
      </c>
      <c r="D436" s="16" t="s">
        <v>458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45779</v>
      </c>
      <c r="B437" s="6" t="n">
        <v>-25.8</v>
      </c>
      <c r="C437" s="6" t="n">
        <v>-25.8</v>
      </c>
      <c r="D437" s="16" t="s">
        <v>459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45779</v>
      </c>
      <c r="B438" s="6" t="n">
        <v>-173.45</v>
      </c>
      <c r="C438" s="6" t="n">
        <v>-173.45</v>
      </c>
      <c r="D438" s="16" t="s">
        <v>429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45781</v>
      </c>
      <c r="B439" s="6" t="n">
        <v>-2000</v>
      </c>
      <c r="C439" s="6" t="n">
        <v>-2000</v>
      </c>
      <c r="D439" s="16" t="s">
        <v>460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45782</v>
      </c>
      <c r="B440" s="6" t="n">
        <v>-18.36</v>
      </c>
      <c r="C440" s="6" t="n">
        <v>-18.36</v>
      </c>
      <c r="D440" s="16" t="s">
        <v>288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45782</v>
      </c>
      <c r="B441" s="6" t="n">
        <v>309</v>
      </c>
      <c r="C441" s="6" t="n">
        <v>309</v>
      </c>
      <c r="D441" s="16" t="s">
        <v>346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45783</v>
      </c>
      <c r="B442" s="6" t="n">
        <v>253.82</v>
      </c>
      <c r="C442" s="6" t="n">
        <v>253.82</v>
      </c>
      <c r="D442" s="16" t="s">
        <v>449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45785</v>
      </c>
      <c r="B443" s="6" t="n">
        <v>-400</v>
      </c>
      <c r="C443" s="6" t="n">
        <v>-400</v>
      </c>
      <c r="D443" s="16" t="s">
        <v>389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45786</v>
      </c>
      <c r="B444" s="6" t="n">
        <v>-86.9</v>
      </c>
      <c r="C444" s="6" t="n">
        <v>-86.9</v>
      </c>
      <c r="D444" s="16" t="s">
        <v>461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45791</v>
      </c>
      <c r="B445" s="6" t="n">
        <v>-310.5</v>
      </c>
      <c r="C445" s="6" t="n">
        <v>-310.5</v>
      </c>
      <c r="D445" s="16" t="s">
        <v>316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45792</v>
      </c>
      <c r="B446" s="6" t="n">
        <v>-138.55</v>
      </c>
      <c r="C446" s="6" t="n">
        <v>-138.55</v>
      </c>
      <c r="D446" s="16" t="s">
        <v>462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45796</v>
      </c>
      <c r="B447" s="6" t="n">
        <v>-500</v>
      </c>
      <c r="C447" s="6" t="n">
        <v>-500</v>
      </c>
      <c r="D447" s="16" t="s">
        <v>463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45797</v>
      </c>
      <c r="B448" s="6" t="n">
        <v>-82.74</v>
      </c>
      <c r="C448" s="6" t="n">
        <v>-82.74</v>
      </c>
      <c r="D448" s="16" t="s">
        <v>292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45797</v>
      </c>
      <c r="B449" s="6" t="n">
        <v>-154.02</v>
      </c>
      <c r="C449" s="6" t="n">
        <v>-154.02</v>
      </c>
      <c r="D449" s="16" t="s">
        <v>464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45798</v>
      </c>
      <c r="B450" s="6" t="n">
        <v>-532.04</v>
      </c>
      <c r="C450" s="6" t="n">
        <v>-532.04</v>
      </c>
      <c r="D450" s="16" t="s">
        <v>352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45798</v>
      </c>
      <c r="B451" s="6" t="n">
        <v>-247.2</v>
      </c>
      <c r="C451" s="6" t="n">
        <v>-247.2</v>
      </c>
      <c r="D451" s="16" t="s">
        <v>394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45798</v>
      </c>
      <c r="B452" s="6" t="n">
        <v>-148.8</v>
      </c>
      <c r="C452" s="6" t="n">
        <v>-148.8</v>
      </c>
      <c r="D452" s="16" t="s">
        <v>351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45800</v>
      </c>
      <c r="B453" s="6" t="n">
        <v>-77.44</v>
      </c>
      <c r="C453" s="6" t="n">
        <v>-77.44</v>
      </c>
      <c r="D453" s="16" t="s">
        <v>341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45803</v>
      </c>
      <c r="B454" s="6" t="n">
        <v>-260.2</v>
      </c>
      <c r="C454" s="6" t="n">
        <v>-260.2</v>
      </c>
      <c r="D454" s="16" t="s">
        <v>465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45805</v>
      </c>
      <c r="B455" s="6" t="n">
        <v>-1062.6</v>
      </c>
      <c r="C455" s="6" t="n">
        <v>-1062.6</v>
      </c>
      <c r="D455" s="16" t="s">
        <v>466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45805</v>
      </c>
      <c r="B456" s="6" t="n">
        <v>-1401.58</v>
      </c>
      <c r="C456" s="6" t="n">
        <v>-1401.58</v>
      </c>
      <c r="D456" s="16" t="s">
        <v>396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45807</v>
      </c>
      <c r="B457" s="6" t="n">
        <v>-64.43</v>
      </c>
      <c r="C457" s="6" t="n">
        <v>-64.43</v>
      </c>
      <c r="D457" s="16" t="s">
        <v>295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45807</v>
      </c>
      <c r="B458" s="6" t="n">
        <v>-68.82</v>
      </c>
      <c r="C458" s="6" t="n">
        <v>-68.82</v>
      </c>
      <c r="D458" s="16" t="s">
        <v>357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45808</v>
      </c>
      <c r="B459" s="6" t="n">
        <v>-244.72</v>
      </c>
      <c r="C459" s="6" t="n">
        <v>-244.72</v>
      </c>
      <c r="D459" s="16" t="s">
        <v>467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45809</v>
      </c>
      <c r="B460" s="6" t="n">
        <v>-20.52</v>
      </c>
      <c r="C460" s="6" t="n">
        <v>-20.52</v>
      </c>
      <c r="D460" s="16" t="s">
        <v>468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45809</v>
      </c>
      <c r="B461" s="6" t="n">
        <v>-298</v>
      </c>
      <c r="C461" s="6" t="n">
        <v>-298</v>
      </c>
      <c r="D461" s="16" t="s">
        <v>469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45810</v>
      </c>
      <c r="B462" s="6" t="n">
        <v>542.72</v>
      </c>
      <c r="C462" s="6" t="n">
        <v>542.72</v>
      </c>
      <c r="D462" s="16" t="s">
        <v>470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45810</v>
      </c>
      <c r="B463" s="6" t="n">
        <v>-23.9</v>
      </c>
      <c r="C463" s="6" t="n">
        <v>-23.9</v>
      </c>
      <c r="D463" s="16" t="s">
        <v>471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45811</v>
      </c>
      <c r="B464" s="6" t="n">
        <v>-244.5</v>
      </c>
      <c r="C464" s="6" t="n">
        <v>-244.5</v>
      </c>
      <c r="D464" s="16" t="s">
        <v>402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45811</v>
      </c>
      <c r="B465" s="6" t="n">
        <v>-471</v>
      </c>
      <c r="C465" s="6" t="n">
        <v>-471</v>
      </c>
      <c r="D465" s="16" t="s">
        <v>472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45812</v>
      </c>
      <c r="B466" s="6" t="n">
        <v>-2253.11</v>
      </c>
      <c r="C466" s="6" t="n">
        <v>-2253.11</v>
      </c>
      <c r="D466" s="16" t="s">
        <v>404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45812</v>
      </c>
      <c r="B467" s="6" t="n">
        <v>-1062.6</v>
      </c>
      <c r="C467" s="6" t="n">
        <v>-1062.6</v>
      </c>
      <c r="D467" s="16" t="s">
        <v>473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45812</v>
      </c>
      <c r="B468" s="6" t="n">
        <v>-2710.2</v>
      </c>
      <c r="C468" s="6" t="n">
        <v>-2710.2</v>
      </c>
      <c r="D468" s="16" t="s">
        <v>403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45815</v>
      </c>
      <c r="B469" s="6" t="n">
        <v>-400</v>
      </c>
      <c r="C469" s="6" t="n">
        <v>-400</v>
      </c>
      <c r="D469" s="16" t="s">
        <v>389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45815</v>
      </c>
      <c r="B470" s="6" t="n">
        <v>-50</v>
      </c>
      <c r="C470" s="6" t="n">
        <v>-50</v>
      </c>
      <c r="D470" s="16" t="s">
        <v>474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45816</v>
      </c>
      <c r="B471" s="6" t="n">
        <v>-82.7</v>
      </c>
      <c r="C471" s="6" t="n">
        <v>-82.7</v>
      </c>
      <c r="D471" s="16" t="s">
        <v>475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45817</v>
      </c>
      <c r="B472" s="6" t="n">
        <v>800</v>
      </c>
      <c r="C472" s="6" t="n">
        <v>800</v>
      </c>
      <c r="D472" s="16" t="s">
        <v>476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45817</v>
      </c>
      <c r="B473" s="6" t="n">
        <v>-123.5</v>
      </c>
      <c r="C473" s="6" t="n">
        <v>-123.5</v>
      </c>
      <c r="D473" s="16" t="s">
        <v>477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45817</v>
      </c>
      <c r="B474" s="6" t="n">
        <v>-70.78</v>
      </c>
      <c r="C474" s="6" t="n">
        <v>-70.78</v>
      </c>
      <c r="D474" s="16" t="s">
        <v>409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45817</v>
      </c>
      <c r="B475" s="6" t="n">
        <v>-72.5</v>
      </c>
      <c r="C475" s="6" t="n">
        <v>-72.5</v>
      </c>
      <c r="D475" s="16" t="s">
        <v>478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45818</v>
      </c>
      <c r="B476" s="6" t="n">
        <v>-17.38</v>
      </c>
      <c r="C476" s="6" t="n">
        <v>-17.38</v>
      </c>
      <c r="D476" s="16" t="s">
        <v>479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45819</v>
      </c>
      <c r="B477" s="6" t="n">
        <v>-30.02</v>
      </c>
      <c r="C477" s="6" t="n">
        <v>-30.02</v>
      </c>
      <c r="D477" s="16" t="s">
        <v>480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45820</v>
      </c>
      <c r="B478" s="6" t="n">
        <v>34.76</v>
      </c>
      <c r="C478" s="6" t="n">
        <v>34.76</v>
      </c>
      <c r="D478" s="16" t="s">
        <v>481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45821</v>
      </c>
      <c r="B479" s="6" t="n">
        <v>-310.6</v>
      </c>
      <c r="C479" s="6" t="n">
        <v>-310.6</v>
      </c>
      <c r="D479" s="16" t="s">
        <v>365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45830</v>
      </c>
      <c r="B480" s="6" t="n">
        <v>-77.44</v>
      </c>
      <c r="C480" s="6" t="n">
        <v>-77.44</v>
      </c>
      <c r="D480" s="16" t="s">
        <v>341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45832</v>
      </c>
      <c r="B481" s="6" t="n">
        <v>-55.32</v>
      </c>
      <c r="C481" s="6" t="n">
        <v>-55.32</v>
      </c>
      <c r="D481" s="16" t="s">
        <v>305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45837</v>
      </c>
      <c r="B482" s="6" t="n">
        <v>-68.82</v>
      </c>
      <c r="C482" s="6" t="n">
        <v>-68.82</v>
      </c>
      <c r="D482" s="16" t="s">
        <v>357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45838</v>
      </c>
      <c r="B483" s="6" t="n">
        <v>-227.15</v>
      </c>
      <c r="C483" s="6" t="n">
        <v>-227.15</v>
      </c>
      <c r="D483" s="16" t="s">
        <v>482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45839</v>
      </c>
      <c r="B484" s="6" t="n">
        <v>-18.14</v>
      </c>
      <c r="C484" s="6" t="n">
        <v>-18.14</v>
      </c>
      <c r="D484" s="16" t="s">
        <v>483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45839</v>
      </c>
      <c r="B485" s="6" t="n">
        <v>-296.1</v>
      </c>
      <c r="C485" s="6" t="n">
        <v>-296.1</v>
      </c>
      <c r="D485" s="16" t="s">
        <v>484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45840</v>
      </c>
      <c r="B486" s="6" t="n">
        <v>-21.3</v>
      </c>
      <c r="C486" s="6" t="n">
        <v>-21.3</v>
      </c>
      <c r="D486" s="16" t="s">
        <v>485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45840</v>
      </c>
      <c r="B487" s="6" t="n">
        <v>227.15</v>
      </c>
      <c r="C487" s="6" t="n">
        <v>227.15</v>
      </c>
      <c r="D487" s="16" t="s">
        <v>486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45841</v>
      </c>
      <c r="B488" s="6" t="n">
        <v>-102.68</v>
      </c>
      <c r="C488" s="6" t="n">
        <v>-102.68</v>
      </c>
      <c r="D488" s="16" t="s">
        <v>310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45841</v>
      </c>
      <c r="B489" s="6" t="n">
        <v>296.1</v>
      </c>
      <c r="C489" s="6" t="n">
        <v>296.1</v>
      </c>
      <c r="D489" s="16" t="s">
        <v>487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45845</v>
      </c>
      <c r="B490" s="6" t="n">
        <v>-35</v>
      </c>
      <c r="C490" s="6" t="n">
        <v>-35</v>
      </c>
      <c r="D490" s="16" t="s">
        <v>272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45845</v>
      </c>
      <c r="B491" s="6" t="n">
        <v>-400</v>
      </c>
      <c r="C491" s="6" t="n">
        <v>-400</v>
      </c>
      <c r="D491" s="16" t="s">
        <v>389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45846</v>
      </c>
      <c r="B492" s="6" t="n">
        <v>-77.4</v>
      </c>
      <c r="C492" s="6" t="n">
        <v>-77.4</v>
      </c>
      <c r="D492" s="16" t="s">
        <v>488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45846</v>
      </c>
      <c r="B493" s="6" t="n">
        <v>-152</v>
      </c>
      <c r="C493" s="6" t="n">
        <v>-152</v>
      </c>
      <c r="D493" s="16" t="s">
        <v>489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45846</v>
      </c>
      <c r="B494" s="6" t="n">
        <v>-284.52</v>
      </c>
      <c r="C494" s="6" t="n">
        <v>-284.52</v>
      </c>
      <c r="D494" s="16" t="s">
        <v>490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45846</v>
      </c>
      <c r="B495" s="6" t="n">
        <v>400</v>
      </c>
      <c r="C495" s="6" t="n">
        <v>400</v>
      </c>
      <c r="D495" s="16" t="s">
        <v>476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45848</v>
      </c>
      <c r="B496" s="6" t="n">
        <v>-227.1</v>
      </c>
      <c r="C496" s="6" t="n">
        <v>-227.1</v>
      </c>
      <c r="D496" s="16" t="s">
        <v>491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45848</v>
      </c>
      <c r="B497" s="6" t="n">
        <v>-8.44</v>
      </c>
      <c r="C497" s="6" t="n">
        <v>-8.44</v>
      </c>
      <c r="D497" s="16" t="s">
        <v>492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45848</v>
      </c>
      <c r="B498" s="6" t="n">
        <v>-5000</v>
      </c>
      <c r="C498" s="6" t="n">
        <v>-5000</v>
      </c>
      <c r="D498" s="16" t="s">
        <v>493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45849</v>
      </c>
      <c r="B499" s="6" t="n">
        <v>-144.15</v>
      </c>
      <c r="C499" s="6" t="n">
        <v>-144.15</v>
      </c>
      <c r="D499" s="16" t="s">
        <v>425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45849</v>
      </c>
      <c r="B500" s="6" t="n">
        <v>5000</v>
      </c>
      <c r="C500" s="6" t="n">
        <v>5000</v>
      </c>
      <c r="D500" s="16" t="s">
        <v>494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45852</v>
      </c>
      <c r="B501" s="6" t="n">
        <v>-749.57</v>
      </c>
      <c r="C501" s="6" t="n">
        <v>-749.57</v>
      </c>
      <c r="D501" s="16" t="s">
        <v>495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45852</v>
      </c>
      <c r="B502" s="6" t="n">
        <v>-67.77</v>
      </c>
      <c r="C502" s="6" t="n">
        <v>-67.77</v>
      </c>
      <c r="D502" s="16" t="s">
        <v>496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45855</v>
      </c>
      <c r="B503" s="6" t="n">
        <v>-344.5</v>
      </c>
      <c r="C503" s="6" t="n">
        <v>-344.5</v>
      </c>
      <c r="D503" s="16" t="s">
        <v>497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45855</v>
      </c>
      <c r="B504" s="6" t="n">
        <v>-157</v>
      </c>
      <c r="C504" s="6" t="n">
        <v>-157</v>
      </c>
      <c r="D504" s="16" t="s">
        <v>498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45855</v>
      </c>
      <c r="B505" s="6" t="n">
        <v>-739</v>
      </c>
      <c r="C505" s="6" t="n">
        <v>-739</v>
      </c>
      <c r="D505" s="16" t="s">
        <v>499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45856</v>
      </c>
      <c r="B506" s="6" t="n">
        <v>-1516</v>
      </c>
      <c r="C506" s="6" t="n">
        <v>-1516</v>
      </c>
      <c r="D506" s="16" t="s">
        <v>500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45858</v>
      </c>
      <c r="B507" s="6" t="n">
        <v>-1494.56</v>
      </c>
      <c r="C507" s="6" t="n">
        <v>-1494.56</v>
      </c>
      <c r="D507" s="16" t="s">
        <v>501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45860</v>
      </c>
      <c r="B508" s="6" t="n">
        <v>-77.44</v>
      </c>
      <c r="C508" s="6" t="n">
        <v>-77.44</v>
      </c>
      <c r="D508" s="16" t="s">
        <v>341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45862</v>
      </c>
      <c r="B509" s="6" t="n">
        <v>-278.12</v>
      </c>
      <c r="C509" s="6" t="n">
        <v>-278.12</v>
      </c>
      <c r="D509" s="16" t="s">
        <v>502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45862</v>
      </c>
      <c r="B510" s="6" t="n">
        <v>-175.96</v>
      </c>
      <c r="C510" s="6" t="n">
        <v>-175.96</v>
      </c>
      <c r="D510" s="16" t="s">
        <v>382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45867</v>
      </c>
      <c r="B511" s="6" t="n">
        <v>-68.82</v>
      </c>
      <c r="C511" s="6" t="n">
        <v>-68.82</v>
      </c>
      <c r="D511" s="16" t="s">
        <v>357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45869</v>
      </c>
      <c r="B512" s="6" t="n">
        <v>-229.6</v>
      </c>
      <c r="C512" s="6" t="n">
        <v>-229.6</v>
      </c>
      <c r="D512" s="16" t="s">
        <v>503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45870</v>
      </c>
      <c r="B513" s="6" t="n">
        <v>-17.3</v>
      </c>
      <c r="C513" s="6" t="n">
        <v>-17.3</v>
      </c>
      <c r="D513" s="16" t="s">
        <v>504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45870</v>
      </c>
      <c r="B514" s="6" t="n">
        <v>-282.1</v>
      </c>
      <c r="C514" s="6" t="n">
        <v>-282.1</v>
      </c>
      <c r="D514" s="16" t="s">
        <v>505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45870</v>
      </c>
      <c r="B515" s="6" t="n">
        <v>-281.9</v>
      </c>
      <c r="C515" s="6" t="n">
        <v>-281.9</v>
      </c>
      <c r="D515" s="16" t="s">
        <v>506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45871</v>
      </c>
      <c r="B516" s="6" t="n">
        <v>-19.4</v>
      </c>
      <c r="C516" s="6" t="n">
        <v>-19.4</v>
      </c>
      <c r="D516" s="16" t="s">
        <v>507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45871</v>
      </c>
      <c r="B517" s="6" t="n">
        <v>229.6</v>
      </c>
      <c r="C517" s="6" t="n">
        <v>229.6</v>
      </c>
      <c r="D517" s="16" t="s">
        <v>508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45874</v>
      </c>
      <c r="B518" s="6" t="n">
        <v>281.9</v>
      </c>
      <c r="C518" s="6" t="n">
        <v>281.9</v>
      </c>
      <c r="D518" s="16" t="s">
        <v>509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45875</v>
      </c>
      <c r="B519" s="6" t="n">
        <v>-400</v>
      </c>
      <c r="C519" s="6" t="n">
        <v>-400</v>
      </c>
      <c r="D519" s="16" t="s">
        <v>389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45876</v>
      </c>
      <c r="B520" s="6" t="n">
        <v>-73.2</v>
      </c>
      <c r="C520" s="6" t="n">
        <v>-73.2</v>
      </c>
      <c r="D520" s="16" t="s">
        <v>510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45876</v>
      </c>
      <c r="B521" s="6" t="n">
        <v>400</v>
      </c>
      <c r="C521" s="6" t="n">
        <v>400</v>
      </c>
      <c r="D521" s="16" t="s">
        <v>476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45882</v>
      </c>
      <c r="B522" s="6" t="n">
        <v>-2429</v>
      </c>
      <c r="C522" s="6" t="n">
        <v>-2429</v>
      </c>
      <c r="D522" s="16" t="s">
        <v>349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45882</v>
      </c>
      <c r="B523" s="6" t="n">
        <v>-47.2</v>
      </c>
      <c r="C523" s="6" t="n">
        <v>-47.2</v>
      </c>
      <c r="D523" s="16" t="s">
        <v>511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45883</v>
      </c>
      <c r="B524" s="6" t="n">
        <v>-138.55</v>
      </c>
      <c r="C524" s="6" t="n">
        <v>-138.55</v>
      </c>
      <c r="D524" s="16" t="s">
        <v>462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45884</v>
      </c>
      <c r="B525" s="6" t="n">
        <v>-115.64</v>
      </c>
      <c r="C525" s="6" t="n">
        <v>-115.64</v>
      </c>
      <c r="D525" s="16" t="s">
        <v>291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45887</v>
      </c>
      <c r="B526" s="6" t="n">
        <v>-500</v>
      </c>
      <c r="C526" s="6" t="n">
        <v>-500</v>
      </c>
      <c r="D526" s="16" t="s">
        <v>463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45888</v>
      </c>
      <c r="B527" s="6" t="n">
        <v>-62.06</v>
      </c>
      <c r="C527" s="6" t="n">
        <v>-62.06</v>
      </c>
      <c r="D527" s="16" t="s">
        <v>512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45889</v>
      </c>
      <c r="B528" s="6" t="n">
        <v>-148.8</v>
      </c>
      <c r="C528" s="6" t="n">
        <v>-148.8</v>
      </c>
      <c r="D528" s="16" t="s">
        <v>351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45889</v>
      </c>
      <c r="B529" s="6" t="n">
        <v>-532.04</v>
      </c>
      <c r="C529" s="6" t="n">
        <v>-532.04</v>
      </c>
      <c r="D529" s="16" t="s">
        <v>352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45890</v>
      </c>
      <c r="B530" s="6" t="n">
        <v>-77.44</v>
      </c>
      <c r="C530" s="6" t="n">
        <v>-77.44</v>
      </c>
      <c r="D530" s="16" t="s">
        <v>341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45894</v>
      </c>
      <c r="B531" s="6" t="n">
        <v>-260.2</v>
      </c>
      <c r="C531" s="6" t="n">
        <v>-260.2</v>
      </c>
      <c r="D531" s="16" t="s">
        <v>465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45897</v>
      </c>
      <c r="B532" s="6" t="n">
        <v>-68.82</v>
      </c>
      <c r="C532" s="6" t="n">
        <v>-68.82</v>
      </c>
      <c r="D532" s="16" t="s">
        <v>357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45898</v>
      </c>
      <c r="B533" s="6" t="n">
        <v>-64.43</v>
      </c>
      <c r="C533" s="6" t="n">
        <v>-64.43</v>
      </c>
      <c r="D533" s="16" t="s">
        <v>295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45900</v>
      </c>
      <c r="B534" s="6" t="n">
        <v>-221.48</v>
      </c>
      <c r="C534" s="6" t="n">
        <v>-221.48</v>
      </c>
      <c r="D534" s="16" t="s">
        <v>513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45901</v>
      </c>
      <c r="B535" s="6" t="n">
        <v>-16.69</v>
      </c>
      <c r="C535" s="6" t="n">
        <v>-16.69</v>
      </c>
      <c r="D535" s="16" t="s">
        <v>514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45901</v>
      </c>
      <c r="B536" s="6" t="n">
        <v>-279.8</v>
      </c>
      <c r="C536" s="6" t="n">
        <v>-279.8</v>
      </c>
      <c r="D536" s="16" t="s">
        <v>515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45901</v>
      </c>
      <c r="B537" s="6" t="n">
        <v>221.48</v>
      </c>
      <c r="C537" s="6" t="n">
        <v>221.48</v>
      </c>
      <c r="D537" s="16" t="s">
        <v>516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45902</v>
      </c>
      <c r="B538" s="6" t="n">
        <v>-16.7</v>
      </c>
      <c r="C538" s="6" t="n">
        <v>-16.7</v>
      </c>
      <c r="D538" s="16" t="s">
        <v>517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45902</v>
      </c>
      <c r="B539" s="6" t="n">
        <v>279.8</v>
      </c>
      <c r="C539" s="6" t="n">
        <v>279.8</v>
      </c>
      <c r="D539" s="16" t="s">
        <v>518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45903</v>
      </c>
      <c r="B540" s="6" t="n">
        <v>-200.6</v>
      </c>
      <c r="C540" s="6" t="n">
        <v>-200.6</v>
      </c>
      <c r="D540" s="16" t="s">
        <v>297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45905</v>
      </c>
      <c r="B541" s="6" t="n">
        <v>-400</v>
      </c>
      <c r="C541" s="6" t="n">
        <v>-400</v>
      </c>
      <c r="D541" s="16" t="s">
        <v>389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45906</v>
      </c>
      <c r="B542" s="6" t="n">
        <v>-68.9</v>
      </c>
      <c r="C542" s="6" t="n">
        <v>-68.9</v>
      </c>
      <c r="D542" s="16" t="s">
        <v>519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45908</v>
      </c>
      <c r="B543" s="6" t="n">
        <v>400</v>
      </c>
      <c r="C543" s="6" t="n">
        <v>400</v>
      </c>
      <c r="D543" s="16" t="s">
        <v>476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45909</v>
      </c>
      <c r="B544" s="6" t="n">
        <v>-17.91</v>
      </c>
      <c r="C544" s="6" t="n">
        <v>-17.91</v>
      </c>
      <c r="D544" s="16" t="s">
        <v>520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45910</v>
      </c>
      <c r="B545" s="6" t="n">
        <v>-29.05</v>
      </c>
      <c r="C545" s="6" t="n">
        <v>-29.05</v>
      </c>
      <c r="D545" s="16" t="s">
        <v>521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45910</v>
      </c>
      <c r="B546" s="6" t="n">
        <v>17.91</v>
      </c>
      <c r="C546" s="6" t="n">
        <v>17.91</v>
      </c>
      <c r="D546" s="16" t="s">
        <v>522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45912</v>
      </c>
      <c r="B547" s="6" t="n">
        <v>-310.6</v>
      </c>
      <c r="C547" s="6" t="n">
        <v>-310.6</v>
      </c>
      <c r="D547" s="16" t="s">
        <v>365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45917</v>
      </c>
      <c r="B548" s="6" t="n">
        <v>-987.94</v>
      </c>
      <c r="C548" s="6" t="n">
        <v>-987.94</v>
      </c>
      <c r="D548" s="16" t="s">
        <v>366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45917</v>
      </c>
      <c r="B549" s="6" t="n">
        <v>-504.6</v>
      </c>
      <c r="C549" s="6" t="n">
        <v>-504.6</v>
      </c>
      <c r="D549" s="16" t="s">
        <v>303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45920</v>
      </c>
      <c r="B550" s="6" t="n">
        <v>-301.58</v>
      </c>
      <c r="C550" s="6" t="n">
        <v>-301.58</v>
      </c>
      <c r="D550" s="16" t="s">
        <v>523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45923</v>
      </c>
      <c r="B551" s="6" t="n">
        <v>-680</v>
      </c>
      <c r="C551" s="6" t="n">
        <v>-680</v>
      </c>
      <c r="D551" s="16" t="s">
        <v>524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45923</v>
      </c>
      <c r="B552" s="6" t="n">
        <v>-55.32</v>
      </c>
      <c r="C552" s="6" t="n">
        <v>-55.32</v>
      </c>
      <c r="D552" s="16" t="s">
        <v>305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45924</v>
      </c>
      <c r="B553" s="6" t="n">
        <v>-1770.56</v>
      </c>
      <c r="C553" s="6" t="n">
        <v>-1770.56</v>
      </c>
      <c r="D553" s="16" t="s">
        <v>447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45924</v>
      </c>
      <c r="B554" s="6" t="n">
        <v>-1952</v>
      </c>
      <c r="C554" s="6" t="n">
        <v>-1952</v>
      </c>
      <c r="D554" s="16" t="s">
        <v>368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45924</v>
      </c>
      <c r="B555" s="6" t="n">
        <v>-31.96</v>
      </c>
      <c r="C555" s="6" t="n">
        <v>-31.96</v>
      </c>
      <c r="D555" s="16" t="s">
        <v>525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45924</v>
      </c>
      <c r="B556" s="6" t="n">
        <v>680</v>
      </c>
      <c r="C556" s="6" t="n">
        <v>680</v>
      </c>
      <c r="D556" s="16" t="s">
        <v>526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45927</v>
      </c>
      <c r="B557" s="6" t="n">
        <v>-68.82</v>
      </c>
      <c r="C557" s="6" t="n">
        <v>-68.82</v>
      </c>
      <c r="D557" s="16" t="s">
        <v>357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45930</v>
      </c>
      <c r="B558" s="6" t="n">
        <v>-202.09</v>
      </c>
      <c r="C558" s="6" t="n">
        <v>-202.09</v>
      </c>
      <c r="D558" s="16" t="s">
        <v>527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45931</v>
      </c>
      <c r="B559" s="6" t="n">
        <v>-1502.55</v>
      </c>
      <c r="C559" s="6" t="n">
        <v>-1502.55</v>
      </c>
      <c r="D559" s="16" t="s">
        <v>375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3" t="n">
        <v>45931</v>
      </c>
      <c r="B560" s="6" t="n">
        <v>-14.66</v>
      </c>
      <c r="C560" s="6" t="n">
        <v>-14.66</v>
      </c>
      <c r="D560" s="16" t="s">
        <v>528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 t="n">
        <v>45931</v>
      </c>
      <c r="B561" s="6" t="n">
        <v>-256.3</v>
      </c>
      <c r="C561" s="6" t="n">
        <v>-256.3</v>
      </c>
      <c r="D561" s="16" t="s">
        <v>529</v>
      </c>
      <c r="E561" s="16"/>
      <c r="F561" s="16"/>
      <c r="G561" s="6" t="s">
        <f>=A561-A560</f>
      </c>
      <c r="H561" s="6" t="s">
        <f>=B561+H560</f>
      </c>
      <c r="I561" s="6" t="s">
        <f>=G561*H560</f>
      </c>
    </row>
    <row collapsed="false" customFormat="false" customHeight="false" hidden="false" ht="12.1" outlineLevel="0" r="562">
      <c r="A562" s="13" t="n">
        <v>45931</v>
      </c>
      <c r="B562" s="6" t="n">
        <v>202.09</v>
      </c>
      <c r="C562" s="6" t="n">
        <v>202.09</v>
      </c>
      <c r="D562" s="16" t="s">
        <v>530</v>
      </c>
      <c r="E562" s="16"/>
      <c r="F562" s="16"/>
      <c r="G562" s="6" t="s">
        <f>=A562-A561</f>
      </c>
      <c r="H562" s="6" t="s">
        <f>=B562+H561</f>
      </c>
      <c r="I562" s="6" t="s">
        <f>=G562*H561</f>
      </c>
    </row>
    <row collapsed="false" customFormat="false" customHeight="false" hidden="false" ht="12.1" outlineLevel="0" r="563">
      <c r="A563" s="13" t="n">
        <v>45932</v>
      </c>
      <c r="B563" s="6" t="n">
        <v>-14.6</v>
      </c>
      <c r="C563" s="6" t="n">
        <v>-14.6</v>
      </c>
      <c r="D563" s="16" t="s">
        <v>531</v>
      </c>
      <c r="E563" s="16"/>
      <c r="F563" s="16"/>
      <c r="G563" s="6" t="s">
        <f>=A563-A562</f>
      </c>
      <c r="H563" s="6" t="s">
        <f>=B563+H562</f>
      </c>
      <c r="I563" s="6" t="s">
        <f>=G563*H562</f>
      </c>
    </row>
    <row collapsed="false" customFormat="false" customHeight="false" hidden="false" ht="12.1" outlineLevel="0" r="564">
      <c r="A564" s="13" t="n">
        <v>45932</v>
      </c>
      <c r="B564" s="6" t="n">
        <v>-102.68</v>
      </c>
      <c r="C564" s="6" t="n">
        <v>-102.68</v>
      </c>
      <c r="D564" s="16" t="s">
        <v>310</v>
      </c>
      <c r="E564" s="16"/>
      <c r="F564" s="16"/>
      <c r="G564" s="6" t="s">
        <f>=A564-A563</f>
      </c>
      <c r="H564" s="6" t="s">
        <f>=B564+H563</f>
      </c>
      <c r="I564" s="6" t="s">
        <f>=G564*H563</f>
      </c>
    </row>
    <row collapsed="false" customFormat="false" customHeight="false" hidden="false" ht="12.1" outlineLevel="0" r="565">
      <c r="A565" s="13" t="n">
        <v>45932</v>
      </c>
      <c r="B565" s="6" t="n">
        <v>256.3</v>
      </c>
      <c r="C565" s="6" t="n">
        <v>256.3</v>
      </c>
      <c r="D565" s="16" t="s">
        <v>532</v>
      </c>
      <c r="E565" s="16"/>
      <c r="F565" s="16"/>
      <c r="G565" s="6" t="s">
        <f>=A565-A564</f>
      </c>
      <c r="H565" s="6" t="s">
        <f>=B565+H564</f>
      </c>
      <c r="I565" s="6" t="s">
        <f>=G565*H564</f>
      </c>
    </row>
    <row collapsed="false" customFormat="false" customHeight="false" hidden="false" ht="12.1" outlineLevel="0" r="566">
      <c r="A566" s="13" t="n">
        <v>45935</v>
      </c>
      <c r="B566" s="6" t="n">
        <v>-400</v>
      </c>
      <c r="C566" s="6" t="n">
        <v>-400</v>
      </c>
      <c r="D566" s="16" t="s">
        <v>389</v>
      </c>
      <c r="E566" s="16"/>
      <c r="F566" s="16"/>
      <c r="G566" s="6" t="s">
        <f>=A566-A565</f>
      </c>
      <c r="H566" s="6" t="s">
        <f>=B566+H565</f>
      </c>
      <c r="I566" s="6" t="s">
        <f>=G566*H565</f>
      </c>
    </row>
    <row collapsed="false" customFormat="false" customHeight="false" hidden="false" ht="12.1" outlineLevel="0" r="567">
      <c r="A567" s="13" t="n">
        <v>45936</v>
      </c>
      <c r="B567" s="6" t="n">
        <v>-154.5</v>
      </c>
      <c r="C567" s="6" t="n">
        <v>-154.5</v>
      </c>
      <c r="D567" s="16" t="s">
        <v>377</v>
      </c>
      <c r="E567" s="16"/>
      <c r="F567" s="16"/>
      <c r="G567" s="6" t="s">
        <f>=A567-A566</f>
      </c>
      <c r="H567" s="6" t="s">
        <f>=B567+H566</f>
      </c>
      <c r="I567" s="6" t="s">
        <f>=G567*H566</f>
      </c>
    </row>
    <row collapsed="false" customFormat="false" customHeight="false" hidden="false" ht="12.1" outlineLevel="0" r="568">
      <c r="A568" s="13" t="n">
        <v>45936</v>
      </c>
      <c r="B568" s="6" t="n">
        <v>-63.6</v>
      </c>
      <c r="C568" s="6" t="n">
        <v>-63.6</v>
      </c>
      <c r="D568" s="16" t="s">
        <v>533</v>
      </c>
      <c r="E568" s="16"/>
      <c r="F568" s="16"/>
      <c r="G568" s="6" t="s">
        <f>=A568-A567</f>
      </c>
      <c r="H568" s="6" t="s">
        <f>=B568+H567</f>
      </c>
      <c r="I568" s="6" t="s">
        <f>=G568*H567</f>
      </c>
    </row>
    <row collapsed="false" customFormat="false" customHeight="false" hidden="false" ht="12.1" outlineLevel="0" r="569">
      <c r="A569" s="13" t="n">
        <v>45936</v>
      </c>
      <c r="B569" s="6" t="n">
        <v>400</v>
      </c>
      <c r="C569" s="6" t="n">
        <v>400</v>
      </c>
      <c r="D569" s="16" t="s">
        <v>476</v>
      </c>
      <c r="E569" s="16"/>
      <c r="F569" s="16"/>
      <c r="G569" s="6" t="s">
        <f>=A569-A568</f>
      </c>
      <c r="H569" s="6" t="s">
        <f>=B569+H568</f>
      </c>
      <c r="I569" s="6" t="s">
        <f>=G569*H568</f>
      </c>
    </row>
    <row collapsed="false" customFormat="false" customHeight="false" hidden="false" ht="12.1" outlineLevel="0" r="570">
      <c r="A570" s="13" t="n">
        <v>45943</v>
      </c>
      <c r="B570" s="6" t="n">
        <v>-180.6</v>
      </c>
      <c r="C570" s="6" t="n">
        <v>-180.6</v>
      </c>
      <c r="D570" s="16" t="s">
        <v>534</v>
      </c>
      <c r="E570" s="16"/>
      <c r="F570" s="16"/>
      <c r="G570" s="6" t="s">
        <f>=A570-A569</f>
      </c>
      <c r="H570" s="6" t="s">
        <f>=B570+H569</f>
      </c>
      <c r="I570" s="6" t="s">
        <f>=G570*H569</f>
      </c>
    </row>
    <row collapsed="false" customFormat="false" customHeight="false" hidden="false" ht="12.1" outlineLevel="0" r="571">
      <c r="A571" s="13" t="n">
        <v>45950</v>
      </c>
      <c r="B571" s="6" t="n">
        <v>-301.58</v>
      </c>
      <c r="C571" s="6" t="n">
        <v>-301.58</v>
      </c>
      <c r="D571" s="16" t="s">
        <v>523</v>
      </c>
      <c r="E571" s="16"/>
      <c r="F571" s="16"/>
      <c r="G571" s="6" t="s">
        <f>=A571-A570</f>
      </c>
      <c r="H571" s="6" t="s">
        <f>=B571+H570</f>
      </c>
      <c r="I571" s="6" t="s">
        <f>=G571*H570</f>
      </c>
    </row>
    <row collapsed="false" customFormat="false" customHeight="false" hidden="false" ht="12.1" outlineLevel="0" r="572">
      <c r="A572" s="13" t="n">
        <v>45950</v>
      </c>
      <c r="B572" s="6" t="n">
        <v>400000</v>
      </c>
      <c r="C572" s="6" t="n">
        <v>400000</v>
      </c>
      <c r="D572" s="16" t="s">
        <v>535</v>
      </c>
      <c r="E572" s="16"/>
      <c r="F572" s="16"/>
      <c r="G572" s="6" t="s">
        <f>=A572-A571</f>
      </c>
      <c r="H572" s="6" t="s">
        <f>=B572+H571</f>
      </c>
      <c r="I572" s="6" t="s">
        <f>=G572*H571</f>
      </c>
    </row>
    <row collapsed="false" customFormat="false" customHeight="false" hidden="false" ht="12.1" outlineLevel="0" r="573">
      <c r="A573" s="13" t="n">
        <v>45953</v>
      </c>
      <c r="B573" s="6" t="n">
        <v>-175.96</v>
      </c>
      <c r="C573" s="6" t="n">
        <v>-175.96</v>
      </c>
      <c r="D573" s="16" t="s">
        <v>382</v>
      </c>
      <c r="E573" s="16"/>
      <c r="F573" s="16"/>
      <c r="G573" s="6" t="s">
        <f>=A573-A572</f>
      </c>
      <c r="H573" s="6" t="s">
        <f>=B573+H572</f>
      </c>
      <c r="I573" s="6" t="s">
        <f>=G573*H572</f>
      </c>
    </row>
    <row collapsed="false" customFormat="false" customHeight="false" hidden="false" ht="12.1" outlineLevel="0" r="574">
      <c r="A574" s="13" t="n">
        <v>45957</v>
      </c>
      <c r="B574" s="6" t="n">
        <v>-68.82</v>
      </c>
      <c r="C574" s="6" t="n">
        <v>-68.82</v>
      </c>
      <c r="D574" s="16" t="s">
        <v>357</v>
      </c>
      <c r="E574" s="16"/>
      <c r="F574" s="16"/>
      <c r="G574" s="6" t="s">
        <f>=A574-A573</f>
      </c>
      <c r="H574" s="6" t="s">
        <f>=B574+H573</f>
      </c>
      <c r="I574" s="6" t="s">
        <f>=G574*H573</f>
      </c>
    </row>
    <row collapsed="false" customFormat="false" customHeight="false" hidden="false" ht="12.1" outlineLevel="0" r="575">
      <c r="A575" s="13" t="n">
        <v>45961</v>
      </c>
      <c r="B575" s="6" t="n">
        <v>-282.1</v>
      </c>
      <c r="C575" s="6" t="n">
        <v>-282.1</v>
      </c>
      <c r="D575" s="16" t="s">
        <v>505</v>
      </c>
      <c r="E575" s="16"/>
      <c r="F575" s="16"/>
      <c r="G575" s="6" t="s">
        <f>=A575-A574</f>
      </c>
      <c r="H575" s="6" t="s">
        <f>=B575+H574</f>
      </c>
      <c r="I575" s="6" t="s">
        <f>=G575*H574</f>
      </c>
    </row>
    <row collapsed="false" customFormat="false" customHeight="false" hidden="false" ht="12.1" outlineLevel="0" r="576">
      <c r="A576" s="13" t="n">
        <v>45961</v>
      </c>
      <c r="B576" s="6" t="n">
        <v>-219.17</v>
      </c>
      <c r="C576" s="6" t="n">
        <v>-219.17</v>
      </c>
      <c r="D576" s="16" t="s">
        <v>536</v>
      </c>
      <c r="E576" s="16"/>
      <c r="F576" s="16"/>
      <c r="G576" s="6" t="s">
        <f>=A576-A575</f>
      </c>
      <c r="H576" s="6" t="s">
        <f>=B576+H575</f>
      </c>
      <c r="I576" s="6" t="s">
        <f>=G576*H575</f>
      </c>
    </row>
    <row collapsed="false" customFormat="false" customHeight="false" hidden="false" ht="12.1" outlineLevel="0" r="577">
      <c r="A577" s="13" t="n">
        <v>45962</v>
      </c>
      <c r="B577" s="6" t="n">
        <v>-280.6</v>
      </c>
      <c r="C577" s="6" t="n">
        <v>-280.6</v>
      </c>
      <c r="D577" s="16" t="s">
        <v>537</v>
      </c>
      <c r="E577" s="16"/>
      <c r="F577" s="16"/>
      <c r="G577" s="6" t="s">
        <f>=A577-A576</f>
      </c>
      <c r="H577" s="6" t="s">
        <f>=B577+H576</f>
      </c>
      <c r="I577" s="6" t="s">
        <f>=G577*H576</f>
      </c>
    </row>
    <row collapsed="false" customFormat="false" customHeight="false" hidden="false" ht="12.1" outlineLevel="0" r="578">
      <c r="A578" s="13" t="n">
        <v>45962</v>
      </c>
      <c r="B578" s="6" t="n">
        <v>-13.82</v>
      </c>
      <c r="C578" s="6" t="n">
        <v>-13.82</v>
      </c>
      <c r="D578" s="16" t="s">
        <v>538</v>
      </c>
      <c r="E578" s="16"/>
      <c r="F578" s="16"/>
      <c r="G578" s="6" t="s">
        <f>=A578-A577</f>
      </c>
      <c r="H578" s="6" t="s">
        <f>=B578+H577</f>
      </c>
      <c r="I578" s="6" t="s">
        <f>=G578*H577</f>
      </c>
    </row>
    <row collapsed="false" customFormat="false" customHeight="false" hidden="false" ht="12.1" outlineLevel="0" r="579">
      <c r="A579" s="13" t="n">
        <v>45962</v>
      </c>
      <c r="B579" s="6" t="n">
        <v>219.17</v>
      </c>
      <c r="C579" s="6" t="n">
        <v>219.17</v>
      </c>
      <c r="D579" s="16" t="s">
        <v>539</v>
      </c>
      <c r="E579" s="16"/>
      <c r="F579" s="16"/>
      <c r="G579" s="6" t="s">
        <f>=A579-A578</f>
      </c>
      <c r="H579" s="6" t="s">
        <f>=B579+H578</f>
      </c>
      <c r="I579" s="6" t="s">
        <f>=G579*H578</f>
      </c>
    </row>
    <row collapsed="false" customFormat="false" customHeight="false" hidden="false" ht="12.1" outlineLevel="0" r="580">
      <c r="A580" s="13" t="n">
        <v>45963</v>
      </c>
      <c r="B580" s="6" t="n">
        <v>-12.7</v>
      </c>
      <c r="C580" s="6" t="n">
        <v>-12.7</v>
      </c>
      <c r="D580" s="16" t="s">
        <v>540</v>
      </c>
      <c r="E580" s="16"/>
      <c r="F580" s="16"/>
      <c r="G580" s="6" t="s">
        <f>=A580-A579</f>
      </c>
      <c r="H580" s="6" t="s">
        <f>=B580+H579</f>
      </c>
      <c r="I580" s="6" t="s">
        <f>=G580*H579</f>
      </c>
    </row>
    <row collapsed="false" customFormat="false" customHeight="false" hidden="false" ht="12.1" outlineLevel="0" r="581">
      <c r="A581" s="13" t="n">
        <v>45965</v>
      </c>
      <c r="B581" s="6" t="n">
        <v>-400</v>
      </c>
      <c r="C581" s="6" t="n">
        <v>-400</v>
      </c>
      <c r="D581" s="16" t="s">
        <v>389</v>
      </c>
      <c r="E581" s="16"/>
      <c r="F581" s="16"/>
      <c r="G581" s="6" t="s">
        <f>=A581-A580</f>
      </c>
      <c r="H581" s="6" t="s">
        <f>=B581+H580</f>
      </c>
      <c r="I581" s="6" t="s">
        <f>=G581*H580</f>
      </c>
    </row>
    <row collapsed="false" customFormat="false" customHeight="false" hidden="false" ht="12.1" outlineLevel="0" r="582">
      <c r="A582" s="13" t="n">
        <v>45966</v>
      </c>
      <c r="B582" s="6" t="n">
        <v>-59.4</v>
      </c>
      <c r="C582" s="6" t="n">
        <v>-59.4</v>
      </c>
      <c r="D582" s="16" t="s">
        <v>541</v>
      </c>
      <c r="E582" s="16"/>
      <c r="F582" s="16"/>
      <c r="G582" s="6" t="s">
        <f>=A582-A581</f>
      </c>
      <c r="H582" s="6" t="s">
        <f>=B582+H581</f>
      </c>
      <c r="I582" s="6" t="s">
        <f>=G582*H581</f>
      </c>
    </row>
    <row collapsed="false" customFormat="false" customHeight="false" hidden="false" ht="12.1" outlineLevel="0" r="583">
      <c r="A583" s="13" t="n">
        <v>45966</v>
      </c>
      <c r="B583" s="6" t="n">
        <v>680.6</v>
      </c>
      <c r="C583" s="6" t="n">
        <v>680.6</v>
      </c>
      <c r="D583" s="16" t="s">
        <v>476</v>
      </c>
      <c r="E583" s="16"/>
      <c r="F583" s="16"/>
      <c r="G583" s="6" t="s">
        <f>=A583-A582</f>
      </c>
      <c r="H583" s="6" t="s">
        <f>=B583+H582</f>
      </c>
      <c r="I583" s="6" t="s">
        <f>=G583*H582</f>
      </c>
    </row>
    <row collapsed="false" customFormat="false" customHeight="false" hidden="false" ht="12.1" outlineLevel="0" r="584">
      <c r="A584" s="13" t="n">
        <v>45972</v>
      </c>
      <c r="B584" s="6" t="n">
        <v>-10000</v>
      </c>
      <c r="C584" s="6" t="n">
        <v>-10000</v>
      </c>
      <c r="D584" s="16" t="s">
        <v>542</v>
      </c>
      <c r="E584" s="16"/>
      <c r="F584" s="16"/>
      <c r="G584" s="6" t="s">
        <f>=A584-A583</f>
      </c>
      <c r="H584" s="6" t="s">
        <f>=B584+H583</f>
      </c>
      <c r="I584" s="6" t="s">
        <f>=G584*H583</f>
      </c>
    </row>
    <row collapsed="false" customFormat="false" customHeight="false" hidden="false" ht="12.1" outlineLevel="0" r="585">
      <c r="A585" s="13" t="n">
        <v>45973</v>
      </c>
      <c r="B585" s="6" t="n">
        <v>-500</v>
      </c>
      <c r="C585" s="6" t="n">
        <v>-500</v>
      </c>
      <c r="D585" s="16" t="s">
        <v>391</v>
      </c>
      <c r="E585" s="16"/>
      <c r="F585" s="16"/>
      <c r="G585" s="6" t="s">
        <f>=A585-A584</f>
      </c>
      <c r="H585" s="6" t="s">
        <f>=B585+H584</f>
      </c>
      <c r="I585" s="6" t="s">
        <f>=G585*H584</f>
      </c>
    </row>
    <row collapsed="false" customFormat="false" customHeight="false" hidden="false" ht="12.1" outlineLevel="0" r="586">
      <c r="A586" s="13" t="n">
        <v>45973</v>
      </c>
      <c r="B586" s="6" t="n">
        <v>-310.5</v>
      </c>
      <c r="C586" s="6" t="n">
        <v>-310.5</v>
      </c>
      <c r="D586" s="16" t="s">
        <v>316</v>
      </c>
      <c r="E586" s="16"/>
      <c r="F586" s="16"/>
      <c r="G586" s="6" t="s">
        <f>=A586-A585</f>
      </c>
      <c r="H586" s="6" t="s">
        <f>=B586+H585</f>
      </c>
      <c r="I586" s="6" t="s">
        <f>=G586*H585</f>
      </c>
    </row>
    <row collapsed="false" customFormat="false" customHeight="false" hidden="false" ht="12.1" outlineLevel="0" r="587">
      <c r="A587" s="13" t="n">
        <v>45973</v>
      </c>
      <c r="B587" s="6" t="n">
        <v>10000</v>
      </c>
      <c r="C587" s="6" t="n">
        <v>10000</v>
      </c>
      <c r="D587" s="16" t="s">
        <v>543</v>
      </c>
      <c r="E587" s="16"/>
      <c r="F587" s="16"/>
      <c r="G587" s="6" t="s">
        <f>=A587-A586</f>
      </c>
      <c r="H587" s="6" t="s">
        <f>=B587+H586</f>
      </c>
      <c r="I587" s="6" t="s">
        <f>=G587*H586</f>
      </c>
    </row>
    <row collapsed="false" customFormat="false" customHeight="false" hidden="false" ht="12.1" outlineLevel="0" r="588">
      <c r="A588" s="13" t="n">
        <v>45973</v>
      </c>
      <c r="B588" s="6" t="n">
        <v>20</v>
      </c>
      <c r="C588" s="6" t="n">
        <v>20</v>
      </c>
      <c r="D588" s="16" t="s">
        <v>544</v>
      </c>
      <c r="E588" s="16"/>
      <c r="F588" s="16"/>
      <c r="G588" s="6" t="s">
        <f>=A588-A587</f>
      </c>
      <c r="H588" s="6" t="s">
        <f>=B588+H587</f>
      </c>
      <c r="I588" s="6" t="s">
        <f>=G588*H587</f>
      </c>
    </row>
    <row collapsed="false" customFormat="false" customHeight="false" hidden="false" ht="12.1" outlineLevel="0" r="589">
      <c r="A589" s="13" t="n">
        <v>45974</v>
      </c>
      <c r="B589" s="6" t="n">
        <v>-138.55</v>
      </c>
      <c r="C589" s="6" t="n">
        <v>-138.55</v>
      </c>
      <c r="D589" s="16" t="s">
        <v>462</v>
      </c>
      <c r="E589" s="16"/>
      <c r="F589" s="16"/>
      <c r="G589" s="6" t="s">
        <f>=A589-A588</f>
      </c>
      <c r="H589" s="6" t="s">
        <f>=B589+H588</f>
      </c>
      <c r="I589" s="6" t="s">
        <f>=G589*H588</f>
      </c>
    </row>
    <row collapsed="false" customFormat="false" customHeight="false" hidden="false" ht="12.1" outlineLevel="0" r="590">
      <c r="A590" s="13" t="n">
        <v>45974</v>
      </c>
      <c r="B590" s="6" t="n">
        <v>500</v>
      </c>
      <c r="C590" s="6" t="n">
        <v>500</v>
      </c>
      <c r="D590" s="16" t="s">
        <v>545</v>
      </c>
      <c r="E590" s="16"/>
      <c r="F590" s="16"/>
      <c r="G590" s="6" t="s">
        <f>=A590-A589</f>
      </c>
      <c r="H590" s="6" t="s">
        <f>=B590+H589</f>
      </c>
      <c r="I590" s="6" t="s">
        <f>=G590*H589</f>
      </c>
    </row>
    <row collapsed="false" customFormat="false" customHeight="false" hidden="false" ht="12.1" outlineLevel="0" r="591">
      <c r="A591" s="13" t="n">
        <v>45979</v>
      </c>
      <c r="B591" s="6" t="n">
        <v>-144.94</v>
      </c>
      <c r="C591" s="6" t="n">
        <v>-144.94</v>
      </c>
      <c r="D591" s="16" t="s">
        <v>546</v>
      </c>
      <c r="E591" s="16"/>
      <c r="F591" s="16"/>
      <c r="G591" s="6" t="s">
        <f>=A591-A590</f>
      </c>
      <c r="H591" s="6" t="s">
        <f>=B591+H590</f>
      </c>
      <c r="I591" s="6" t="s">
        <f>=G591*H590</f>
      </c>
    </row>
    <row collapsed="false" customFormat="false" customHeight="false" hidden="false" ht="12.1" outlineLevel="0" r="592">
      <c r="A592" s="13" t="n">
        <v>45980</v>
      </c>
      <c r="B592" s="6" t="n">
        <v>-247.2</v>
      </c>
      <c r="C592" s="6" t="n">
        <v>-247.2</v>
      </c>
      <c r="D592" s="16" t="s">
        <v>394</v>
      </c>
      <c r="E592" s="16"/>
      <c r="F592" s="16"/>
      <c r="G592" s="6" t="s">
        <f>=A592-A591</f>
      </c>
      <c r="H592" s="6" t="s">
        <f>=B592+H591</f>
      </c>
      <c r="I592" s="6" t="s">
        <f>=G592*H591</f>
      </c>
    </row>
    <row collapsed="false" customFormat="false" customHeight="false" hidden="false" ht="12.1" outlineLevel="0" r="593">
      <c r="A593" s="13" t="n">
        <v>45980</v>
      </c>
      <c r="B593" s="6" t="n">
        <v>-532.04</v>
      </c>
      <c r="C593" s="6" t="n">
        <v>-532.04</v>
      </c>
      <c r="D593" s="16" t="s">
        <v>352</v>
      </c>
      <c r="E593" s="16"/>
      <c r="F593" s="16"/>
      <c r="G593" s="6" t="s">
        <f>=A593-A592</f>
      </c>
      <c r="H593" s="6" t="s">
        <f>=B593+H592</f>
      </c>
      <c r="I593" s="6" t="s">
        <f>=G593*H592</f>
      </c>
    </row>
    <row collapsed="false" customFormat="false" customHeight="false" hidden="false" ht="12.1" outlineLevel="0" r="594">
      <c r="A594" s="13" t="n">
        <v>45980</v>
      </c>
      <c r="B594" s="6" t="n">
        <v>-398.38</v>
      </c>
      <c r="C594" s="6" t="n">
        <v>-398.38</v>
      </c>
      <c r="D594" s="16" t="s">
        <v>547</v>
      </c>
      <c r="E594" s="16"/>
      <c r="F594" s="16"/>
      <c r="G594" s="6" t="s">
        <f>=A594-A593</f>
      </c>
      <c r="H594" s="6" t="s">
        <f>=B594+H593</f>
      </c>
      <c r="I594" s="6" t="s">
        <f>=G594*H593</f>
      </c>
    </row>
    <row collapsed="false" customFormat="false" customHeight="false" hidden="false" ht="12.1" outlineLevel="0" r="595">
      <c r="A595" s="13" t="n">
        <v>45980</v>
      </c>
      <c r="B595" s="6" t="n">
        <v>-148.8</v>
      </c>
      <c r="C595" s="6" t="n">
        <v>-148.8</v>
      </c>
      <c r="D595" s="16" t="s">
        <v>351</v>
      </c>
      <c r="E595" s="16"/>
      <c r="F595" s="16"/>
      <c r="G595" s="6" t="s">
        <f>=A595-A594</f>
      </c>
      <c r="H595" s="6" t="s">
        <f>=B595+H594</f>
      </c>
      <c r="I595" s="6" t="s">
        <f>=G595*H594</f>
      </c>
    </row>
    <row collapsed="false" customFormat="false" customHeight="false" hidden="false" ht="12.1" outlineLevel="0" r="596">
      <c r="A596" s="13" t="n">
        <v>45985</v>
      </c>
      <c r="B596" s="6" t="n">
        <v>-260.2</v>
      </c>
      <c r="C596" s="6" t="n">
        <v>-260.2</v>
      </c>
      <c r="D596" s="16" t="s">
        <v>465</v>
      </c>
      <c r="E596" s="16"/>
      <c r="F596" s="16"/>
      <c r="G596" s="6" t="s">
        <f>=A596-A595</f>
      </c>
      <c r="H596" s="6" t="s">
        <f>=B596+H595</f>
      </c>
      <c r="I596" s="6" t="s">
        <f>=G596*H595</f>
      </c>
    </row>
    <row collapsed="false" customFormat="false" customHeight="false" hidden="false" ht="12.1" outlineLevel="0" r="597">
      <c r="A597" s="13" t="n">
        <v>45987</v>
      </c>
      <c r="B597" s="6" t="n">
        <v>-1062.6</v>
      </c>
      <c r="C597" s="6" t="n">
        <v>-1062.6</v>
      </c>
      <c r="D597" s="16" t="s">
        <v>466</v>
      </c>
      <c r="E597" s="16"/>
      <c r="F597" s="16"/>
      <c r="G597" s="6" t="s">
        <f>=A597-A596</f>
      </c>
      <c r="H597" s="6" t="s">
        <f>=B597+H596</f>
      </c>
      <c r="I597" s="6" t="s">
        <f>=G597*H596</f>
      </c>
    </row>
    <row collapsed="false" customFormat="false" customHeight="false" hidden="false" ht="12.1" outlineLevel="0" r="598">
      <c r="A598" s="13" t="n">
        <v>45987</v>
      </c>
      <c r="B598" s="6" t="n">
        <v>-1401.58</v>
      </c>
      <c r="C598" s="6" t="n">
        <v>-1401.58</v>
      </c>
      <c r="D598" s="16" t="s">
        <v>396</v>
      </c>
      <c r="E598" s="16"/>
      <c r="F598" s="16"/>
      <c r="G598" s="6" t="s">
        <f>=A598-A597</f>
      </c>
      <c r="H598" s="6" t="s">
        <f>=B598+H597</f>
      </c>
      <c r="I598" s="6" t="s">
        <f>=G598*H597</f>
      </c>
    </row>
    <row collapsed="false" customFormat="false" customHeight="false" hidden="false" ht="12.1" outlineLevel="0" r="599">
      <c r="A599" s="13" t="n">
        <v>45987</v>
      </c>
      <c r="B599" s="6" t="n">
        <v>-166.42</v>
      </c>
      <c r="C599" s="6" t="n">
        <v>-166.42</v>
      </c>
      <c r="D599" s="16" t="s">
        <v>548</v>
      </c>
      <c r="E599" s="16"/>
      <c r="F599" s="16"/>
      <c r="G599" s="6" t="s">
        <f>=A599-A598</f>
      </c>
      <c r="H599" s="6" t="s">
        <f>=B599+H598</f>
      </c>
      <c r="I599" s="6" t="s">
        <f>=G599*H598</f>
      </c>
    </row>
    <row collapsed="false" customFormat="false" customHeight="false" hidden="false" ht="12.1" outlineLevel="0" r="600">
      <c r="A600" s="13" t="n">
        <v>45989</v>
      </c>
      <c r="B600" s="6" t="n">
        <v>-64.43</v>
      </c>
      <c r="C600" s="6" t="n">
        <v>-64.43</v>
      </c>
      <c r="D600" s="16" t="s">
        <v>295</v>
      </c>
      <c r="E600" s="16"/>
      <c r="F600" s="16"/>
      <c r="G600" s="6" t="s">
        <f>=A600-A599</f>
      </c>
      <c r="H600" s="6" t="s">
        <f>=B600+H599</f>
      </c>
      <c r="I600" s="6" t="s">
        <f>=G600*H599</f>
      </c>
    </row>
    <row collapsed="false" customFormat="false" customHeight="false" hidden="false" ht="12.1" outlineLevel="0" r="601">
      <c r="A601" s="13" t="n">
        <v>45991</v>
      </c>
      <c r="B601" s="6" t="n">
        <v>-209.86</v>
      </c>
      <c r="C601" s="6" t="n">
        <v>-209.86</v>
      </c>
      <c r="D601" s="16" t="s">
        <v>549</v>
      </c>
      <c r="E601" s="16"/>
      <c r="F601" s="16"/>
      <c r="G601" s="6" t="s">
        <f>=A601-A600</f>
      </c>
      <c r="H601" s="6" t="s">
        <f>=B601+H600</f>
      </c>
      <c r="I601" s="6" t="s">
        <f>=G601*H600</f>
      </c>
    </row>
    <row collapsed="false" customFormat="false" customHeight="false" hidden="false" ht="12.1" outlineLevel="0" r="602">
      <c r="A602" s="13" t="n">
        <v>45992</v>
      </c>
      <c r="B602" s="6" t="n">
        <v>-11.86</v>
      </c>
      <c r="C602" s="6" t="n">
        <v>-11.86</v>
      </c>
      <c r="D602" s="16" t="s">
        <v>550</v>
      </c>
      <c r="E602" s="16"/>
      <c r="F602" s="16"/>
      <c r="G602" s="6" t="s">
        <f>=A602-A601</f>
      </c>
      <c r="H602" s="6" t="s">
        <f>=B602+H601</f>
      </c>
      <c r="I602" s="6" t="s">
        <f>=G602*H601</f>
      </c>
    </row>
    <row collapsed="false" customFormat="false" customHeight="false" hidden="false" ht="12.1" outlineLevel="0" r="603">
      <c r="A603" s="13" t="n">
        <v>45992</v>
      </c>
      <c r="B603" s="6" t="n">
        <v>-257.9</v>
      </c>
      <c r="C603" s="6" t="n">
        <v>-257.9</v>
      </c>
      <c r="D603" s="16" t="s">
        <v>551</v>
      </c>
      <c r="E603" s="16"/>
      <c r="F603" s="16"/>
      <c r="G603" s="6" t="s">
        <f>=A603-A602</f>
      </c>
      <c r="H603" s="6" t="s">
        <f>=B603+H602</f>
      </c>
      <c r="I603" s="6" t="s">
        <f>=G603*H602</f>
      </c>
    </row>
    <row collapsed="false" customFormat="false" customHeight="false" hidden="false" ht="12.1" outlineLevel="0" r="604">
      <c r="A604" s="13" t="n">
        <v>45992</v>
      </c>
      <c r="B604" s="6" t="n">
        <v>209.86</v>
      </c>
      <c r="C604" s="6" t="n">
        <v>209.86</v>
      </c>
      <c r="D604" s="16" t="s">
        <v>552</v>
      </c>
      <c r="E604" s="16"/>
      <c r="F604" s="16"/>
      <c r="G604" s="6" t="s">
        <f>=A604-A603</f>
      </c>
      <c r="H604" s="6" t="s">
        <f>=B604+H603</f>
      </c>
      <c r="I604" s="6" t="s">
        <f>=G604*H603</f>
      </c>
    </row>
    <row collapsed="false" customFormat="false" customHeight="false" hidden="false" ht="12.1" outlineLevel="0" r="605">
      <c r="A605" s="13" t="n">
        <v>45993</v>
      </c>
      <c r="B605" s="6" t="n">
        <v>-244.5</v>
      </c>
      <c r="C605" s="6" t="n">
        <v>-244.5</v>
      </c>
      <c r="D605" s="16" t="s">
        <v>402</v>
      </c>
      <c r="E605" s="16"/>
      <c r="F605" s="16"/>
      <c r="G605" s="6" t="s">
        <f>=A605-A604</f>
      </c>
      <c r="H605" s="6" t="s">
        <f>=B605+H604</f>
      </c>
      <c r="I605" s="6" t="s">
        <f>=G605*H604</f>
      </c>
    </row>
    <row collapsed="false" customFormat="false" customHeight="false" hidden="false" ht="12.1" outlineLevel="0" r="606">
      <c r="A606" s="13" t="n">
        <v>45993</v>
      </c>
      <c r="B606" s="6" t="n">
        <v>-9.7</v>
      </c>
      <c r="C606" s="6" t="n">
        <v>-9.7</v>
      </c>
      <c r="D606" s="16" t="s">
        <v>553</v>
      </c>
      <c r="E606" s="16"/>
      <c r="F606" s="16"/>
      <c r="G606" s="6" t="s">
        <f>=A606-A605</f>
      </c>
      <c r="H606" s="6" t="s">
        <f>=B606+H605</f>
      </c>
      <c r="I606" s="6" t="s">
        <f>=G606*H605</f>
      </c>
    </row>
    <row collapsed="false" customFormat="false" customHeight="false" hidden="false" ht="12.1" outlineLevel="0" r="607">
      <c r="A607" s="13" t="n">
        <v>45993</v>
      </c>
      <c r="B607" s="6" t="n">
        <v>257.9</v>
      </c>
      <c r="C607" s="6" t="n">
        <v>257.9</v>
      </c>
      <c r="D607" s="16" t="s">
        <v>554</v>
      </c>
      <c r="E607" s="16"/>
      <c r="F607" s="16"/>
      <c r="G607" s="6" t="s">
        <f>=A607-A606</f>
      </c>
      <c r="H607" s="6" t="s">
        <f>=B607+H606</f>
      </c>
      <c r="I607" s="6" t="s">
        <f>=G607*H606</f>
      </c>
    </row>
    <row collapsed="false" customFormat="false" customHeight="false" hidden="false" ht="12.1" outlineLevel="0" r="608">
      <c r="A608" s="13" t="n">
        <v>45994</v>
      </c>
      <c r="B608" s="6" t="n">
        <v>-2710.2</v>
      </c>
      <c r="C608" s="6" t="n">
        <v>-2710.2</v>
      </c>
      <c r="D608" s="16" t="s">
        <v>403</v>
      </c>
      <c r="E608" s="16"/>
      <c r="F608" s="16"/>
      <c r="G608" s="6" t="s">
        <f>=A608-A607</f>
      </c>
      <c r="H608" s="6" t="s">
        <f>=B608+H607</f>
      </c>
      <c r="I608" s="6" t="s">
        <f>=G608*H607</f>
      </c>
    </row>
    <row collapsed="false" customFormat="false" customHeight="false" hidden="false" ht="12.1" outlineLevel="0" r="609">
      <c r="A609" s="13" t="n">
        <v>45994</v>
      </c>
      <c r="B609" s="6" t="n">
        <v>-2253.11</v>
      </c>
      <c r="C609" s="6" t="n">
        <v>-2253.11</v>
      </c>
      <c r="D609" s="16" t="s">
        <v>404</v>
      </c>
      <c r="E609" s="16"/>
      <c r="F609" s="16"/>
      <c r="G609" s="6" t="s">
        <f>=A609-A608</f>
      </c>
      <c r="H609" s="6" t="s">
        <f>=B609+H608</f>
      </c>
      <c r="I609" s="6" t="s">
        <f>=G609*H608</f>
      </c>
    </row>
    <row collapsed="false" customFormat="false" customHeight="false" hidden="false" ht="12.1" outlineLevel="0" r="610">
      <c r="A610" s="13" t="n">
        <v>45994</v>
      </c>
      <c r="B610" s="6" t="n">
        <v>-1062.6</v>
      </c>
      <c r="C610" s="6" t="n">
        <v>-1062.6</v>
      </c>
      <c r="D610" s="16" t="s">
        <v>473</v>
      </c>
      <c r="E610" s="16"/>
      <c r="F610" s="16"/>
      <c r="G610" s="6" t="s">
        <f>=A610-A609</f>
      </c>
      <c r="H610" s="6" t="s">
        <f>=B610+H609</f>
      </c>
      <c r="I610" s="6" t="s">
        <f>=G610*H609</f>
      </c>
    </row>
    <row collapsed="false" customFormat="false" customHeight="false" hidden="false" ht="12.1" outlineLevel="0" r="611">
      <c r="A611" s="13" t="n">
        <v>45994</v>
      </c>
      <c r="B611" s="6" t="n">
        <v>10</v>
      </c>
      <c r="C611" s="6" t="n">
        <v>10</v>
      </c>
      <c r="D611" s="16" t="s">
        <v>544</v>
      </c>
      <c r="E611" s="16"/>
      <c r="F611" s="16"/>
      <c r="G611" s="6" t="s">
        <f>=A611-A610</f>
      </c>
      <c r="H611" s="6" t="s">
        <f>=B611+H610</f>
      </c>
      <c r="I611" s="6" t="s">
        <f>=G611*H610</f>
      </c>
    </row>
    <row collapsed="false" customFormat="false" customHeight="false" hidden="false" ht="12.1" outlineLevel="0" r="612">
      <c r="A612" s="13" t="n">
        <v>45995</v>
      </c>
      <c r="B612" s="6" t="n">
        <v>-400</v>
      </c>
      <c r="C612" s="6" t="n">
        <v>-400</v>
      </c>
      <c r="D612" s="16" t="s">
        <v>389</v>
      </c>
      <c r="E612" s="16"/>
      <c r="F612" s="16"/>
      <c r="G612" s="6" t="s">
        <f>=A612-A611</f>
      </c>
      <c r="H612" s="6" t="s">
        <f>=B612+H611</f>
      </c>
      <c r="I612" s="6" t="s">
        <f>=G612*H611</f>
      </c>
    </row>
    <row collapsed="false" customFormat="false" customHeight="false" hidden="false" ht="12.1" outlineLevel="0" r="613">
      <c r="A613" s="13" t="n">
        <v>45996</v>
      </c>
      <c r="B613" s="6" t="n">
        <v>-55.1</v>
      </c>
      <c r="C613" s="6" t="n">
        <v>-55.1</v>
      </c>
      <c r="D613" s="16" t="s">
        <v>555</v>
      </c>
      <c r="E613" s="16"/>
      <c r="F613" s="16"/>
      <c r="G613" s="6" t="s">
        <f>=A613-A612</f>
      </c>
      <c r="H613" s="6" t="s">
        <f>=B613+H612</f>
      </c>
      <c r="I613" s="6" t="s">
        <f>=G613*H612</f>
      </c>
    </row>
    <row collapsed="false" customFormat="false" customHeight="false" hidden="false" ht="12.1" outlineLevel="0" r="614">
      <c r="A614" s="13" t="n">
        <v>45996</v>
      </c>
      <c r="B614" s="6" t="n">
        <v>400</v>
      </c>
      <c r="C614" s="6" t="n">
        <v>400</v>
      </c>
      <c r="D614" s="16" t="s">
        <v>476</v>
      </c>
      <c r="E614" s="16"/>
      <c r="F614" s="16"/>
      <c r="G614" s="6" t="s">
        <f>=A614-A613</f>
      </c>
      <c r="H614" s="6" t="s">
        <f>=B614+H613</f>
      </c>
      <c r="I614" s="6" t="s">
        <f>=G614*H613</f>
      </c>
    </row>
    <row collapsed="false" customFormat="false" customHeight="false" hidden="false" ht="12.1" outlineLevel="0" r="615">
      <c r="A615" s="13" t="n">
        <v>45999</v>
      </c>
      <c r="B615" s="6" t="n">
        <v>-70.78</v>
      </c>
      <c r="C615" s="6" t="n">
        <v>-70.78</v>
      </c>
      <c r="D615" s="16" t="s">
        <v>409</v>
      </c>
      <c r="E615" s="16"/>
      <c r="F615" s="16"/>
      <c r="G615" s="6" t="s">
        <f>=A615-A614</f>
      </c>
      <c r="H615" s="6" t="s">
        <f>=B615+H614</f>
      </c>
      <c r="I615" s="6" t="s">
        <f>=G615*H614</f>
      </c>
    </row>
    <row collapsed="false" customFormat="false" customHeight="false" hidden="false" ht="12.1" outlineLevel="0" r="616">
      <c r="A616" s="13" t="n">
        <v>46000</v>
      </c>
      <c r="B616" s="6" t="n">
        <v>-18.64</v>
      </c>
      <c r="C616" s="6" t="n">
        <v>-18.64</v>
      </c>
      <c r="D616" s="16" t="s">
        <v>556</v>
      </c>
      <c r="E616" s="16"/>
      <c r="F616" s="16"/>
      <c r="G616" s="6" t="s">
        <f>=A616-A615</f>
      </c>
      <c r="H616" s="6" t="s">
        <f>=B616+H615</f>
      </c>
      <c r="I616" s="6" t="s">
        <f>=G616*H615</f>
      </c>
    </row>
    <row collapsed="false" customFormat="false" customHeight="false" hidden="false" ht="12.1" outlineLevel="0" r="617">
      <c r="A617" s="13" t="n">
        <v>46001</v>
      </c>
      <c r="B617" s="6" t="n">
        <v>-23.77</v>
      </c>
      <c r="C617" s="6" t="n">
        <v>-23.77</v>
      </c>
      <c r="D617" s="16" t="s">
        <v>557</v>
      </c>
      <c r="E617" s="16"/>
      <c r="F617" s="16"/>
      <c r="G617" s="6" t="s">
        <f>=A617-A616</f>
      </c>
      <c r="H617" s="6" t="s">
        <f>=B617+H616</f>
      </c>
      <c r="I617" s="6" t="s">
        <f>=G617*H616</f>
      </c>
    </row>
    <row collapsed="false" customFormat="false" customHeight="false" hidden="false" ht="12.1" outlineLevel="0" r="618">
      <c r="A618" s="13" t="n">
        <v>46001</v>
      </c>
      <c r="B618" s="6" t="n">
        <v>18.64</v>
      </c>
      <c r="C618" s="6" t="n">
        <v>18.64</v>
      </c>
      <c r="D618" s="16" t="s">
        <v>558</v>
      </c>
      <c r="E618" s="16"/>
      <c r="F618" s="16"/>
      <c r="G618" s="6" t="s">
        <f>=A618-A617</f>
      </c>
      <c r="H618" s="6" t="s">
        <f>=B618+H617</f>
      </c>
      <c r="I618" s="6" t="s">
        <f>=G618*H617</f>
      </c>
    </row>
    <row collapsed="false" customFormat="false" customHeight="false" hidden="false" ht="12.1" outlineLevel="0" r="619">
      <c r="A619" s="13" t="n">
        <v>46003</v>
      </c>
      <c r="B619" s="6" t="n">
        <v>-310.6</v>
      </c>
      <c r="C619" s="6" t="n">
        <v>-310.6</v>
      </c>
      <c r="D619" s="16" t="s">
        <v>365</v>
      </c>
      <c r="E619" s="16"/>
      <c r="F619" s="16"/>
      <c r="G619" s="6" t="s">
        <f>=A619-A618</f>
      </c>
      <c r="H619" s="6" t="s">
        <f>=B619+H618</f>
      </c>
      <c r="I619" s="6" t="s">
        <f>=G619*H618</f>
      </c>
    </row>
    <row collapsed="false" customFormat="false" customHeight="false" hidden="false" ht="12.1" outlineLevel="0" r="620">
      <c r="A620" s="13" t="n">
        <v>46005</v>
      </c>
      <c r="B620" s="6" t="n">
        <v>-101</v>
      </c>
      <c r="C620" s="6" t="n">
        <v>-101</v>
      </c>
      <c r="D620" s="16" t="s">
        <v>559</v>
      </c>
      <c r="E620" s="16"/>
      <c r="F620" s="16"/>
      <c r="G620" s="6" t="s">
        <f>=A620-A619</f>
      </c>
      <c r="H620" s="6" t="s">
        <f>=B620+H619</f>
      </c>
      <c r="I620" s="6" t="s">
        <f>=G620*H619</f>
      </c>
    </row>
    <row collapsed="false" customFormat="false" customHeight="false" hidden="false" ht="12.1" outlineLevel="0" r="621">
      <c r="A621" s="13" t="n">
        <v>46010</v>
      </c>
      <c r="B621" s="6" t="n">
        <v>-398.38</v>
      </c>
      <c r="C621" s="6" t="n">
        <v>-398.38</v>
      </c>
      <c r="D621" s="16" t="s">
        <v>547</v>
      </c>
      <c r="E621" s="16"/>
      <c r="F621" s="16"/>
      <c r="G621" s="6" t="s">
        <f>=A621-A620</f>
      </c>
      <c r="H621" s="6" t="s">
        <f>=B621+H620</f>
      </c>
      <c r="I621" s="6" t="s">
        <f>=G621*H620</f>
      </c>
    </row>
    <row collapsed="false" customFormat="false" customHeight="false" hidden="false" ht="12.1" outlineLevel="0" r="622">
      <c r="A622" s="13" t="n">
        <v>46013</v>
      </c>
      <c r="B622" s="6" t="n">
        <v>-2000</v>
      </c>
      <c r="C622" s="6" t="n">
        <v>-2000</v>
      </c>
      <c r="D622" s="16" t="s">
        <v>560</v>
      </c>
      <c r="E622" s="16"/>
      <c r="F622" s="16"/>
      <c r="G622" s="6" t="s">
        <f>=A622-A621</f>
      </c>
      <c r="H622" s="6" t="s">
        <f>=B622+H621</f>
      </c>
      <c r="I622" s="6" t="s">
        <f>=G622*H621</f>
      </c>
    </row>
    <row collapsed="false" customFormat="false" customHeight="false" hidden="false" ht="12.1" outlineLevel="0" r="623">
      <c r="A623" s="13" t="n">
        <v>46014</v>
      </c>
      <c r="B623" s="6" t="n">
        <v>-55.32</v>
      </c>
      <c r="C623" s="6" t="n">
        <v>-55.32</v>
      </c>
      <c r="D623" s="16" t="s">
        <v>305</v>
      </c>
      <c r="E623" s="16"/>
      <c r="F623" s="16"/>
      <c r="G623" s="6" t="s">
        <f>=A623-A622</f>
      </c>
      <c r="H623" s="6" t="s">
        <f>=B623+H622</f>
      </c>
      <c r="I623" s="6" t="s">
        <f>=G623*H622</f>
      </c>
    </row>
    <row collapsed="false" customFormat="false" customHeight="false" hidden="false" ht="12.1" outlineLevel="0" r="624">
      <c r="A624" s="13" t="n">
        <v>46014</v>
      </c>
      <c r="B624" s="6" t="n">
        <v>2000</v>
      </c>
      <c r="C624" s="6" t="n">
        <v>2000</v>
      </c>
      <c r="D624" s="16" t="s">
        <v>561</v>
      </c>
      <c r="E624" s="16"/>
      <c r="F624" s="16"/>
      <c r="G624" s="6" t="s">
        <f>=A624-A623</f>
      </c>
      <c r="H624" s="6" t="s">
        <f>=B624+H623</f>
      </c>
      <c r="I624" s="6" t="s">
        <f>=G624*H623</f>
      </c>
    </row>
    <row collapsed="false" customFormat="false" customHeight="false" hidden="false" ht="12.1" outlineLevel="0" r="625">
      <c r="A625" s="13" t="n">
        <v>46016</v>
      </c>
      <c r="B625" s="6" t="n">
        <v>-785</v>
      </c>
      <c r="C625" s="6" t="n">
        <v>-785</v>
      </c>
      <c r="D625" s="16" t="s">
        <v>562</v>
      </c>
      <c r="E625" s="16"/>
      <c r="F625" s="16"/>
      <c r="G625" s="6" t="s">
        <f>=A625-A624</f>
      </c>
      <c r="H625" s="6" t="s">
        <f>=B625+H624</f>
      </c>
      <c r="I625" s="6" t="s">
        <f>=G625*H624</f>
      </c>
    </row>
    <row collapsed="false" customFormat="false" customHeight="false" hidden="false" ht="12.1" outlineLevel="0" r="626">
      <c r="A626" s="13" t="n">
        <v>46017</v>
      </c>
      <c r="B626" s="6" t="n">
        <v>-166.42</v>
      </c>
      <c r="C626" s="6" t="n">
        <v>-166.42</v>
      </c>
      <c r="D626" s="16" t="s">
        <v>548</v>
      </c>
      <c r="E626" s="16"/>
      <c r="F626" s="16"/>
      <c r="G626" s="6" t="s">
        <f>=A626-A625</f>
      </c>
      <c r="H626" s="6" t="s">
        <f>=B626+H625</f>
      </c>
      <c r="I626" s="6" t="s">
        <f>=G626*H625</f>
      </c>
    </row>
    <row collapsed="false" customFormat="false" customHeight="false" hidden="false" ht="12.1" outlineLevel="0" r="627">
      <c r="A627" s="13" t="n">
        <v>46022</v>
      </c>
      <c r="B627" s="6" t="n">
        <v>-200.76</v>
      </c>
      <c r="C627" s="6" t="n">
        <v>-200.76</v>
      </c>
      <c r="D627" s="16" t="s">
        <v>563</v>
      </c>
      <c r="E627" s="16"/>
      <c r="F627" s="16"/>
      <c r="G627" s="6" t="s">
        <f>=A627-A626</f>
      </c>
      <c r="H627" s="6" t="s">
        <f>=B627+H626</f>
      </c>
      <c r="I627" s="6" t="s">
        <f>=G627*H626</f>
      </c>
    </row>
    <row collapsed="false" customFormat="false" customHeight="false" hidden="false" ht="12.1" outlineLevel="0" r="628">
      <c r="A628" s="13" t="n">
        <v>46023</v>
      </c>
      <c r="B628" s="6" t="n">
        <v>1.2</v>
      </c>
      <c r="C628" s="6" t="n">
        <v>1.2</v>
      </c>
      <c r="D628" s="16" t="s">
        <v>564</v>
      </c>
      <c r="E628" s="16"/>
      <c r="F628" s="16"/>
      <c r="G628" s="6" t="s">
        <f>=A628-A627</f>
      </c>
      <c r="H628" s="6" t="s">
        <f>=B628+H627</f>
      </c>
      <c r="I628" s="6" t="s">
        <f>=G628*H627</f>
      </c>
    </row>
    <row collapsed="false" customFormat="false" customHeight="false" hidden="false" ht="12.1" outlineLevel="0" r="629">
      <c r="A629" s="13" t="n">
        <v>46023</v>
      </c>
      <c r="B629" s="6" t="n">
        <v>-238.2</v>
      </c>
      <c r="C629" s="6" t="n">
        <v>-238.2</v>
      </c>
      <c r="D629" s="16" t="s">
        <v>565</v>
      </c>
      <c r="E629" s="16"/>
      <c r="F629" s="16"/>
      <c r="G629" s="6" t="s">
        <f>=A629-A628</f>
      </c>
      <c r="H629" s="6" t="s">
        <f>=B629+H628</f>
      </c>
      <c r="I629" s="6" t="s">
        <f>=G629*H628</f>
      </c>
    </row>
    <row collapsed="false" customFormat="false" customHeight="false" hidden="false" ht="12.1" outlineLevel="0" r="630">
      <c r="A630" s="13" t="n">
        <v>46023</v>
      </c>
      <c r="B630" s="6" t="n">
        <v>-76.35</v>
      </c>
      <c r="C630" s="6" t="n">
        <v>-76.35</v>
      </c>
      <c r="D630" s="16" t="s">
        <v>566</v>
      </c>
      <c r="E630" s="16"/>
      <c r="F630" s="16"/>
      <c r="G630" s="6" t="s">
        <f>=A630-A629</f>
      </c>
      <c r="H630" s="6" t="s">
        <f>=B630+H629</f>
      </c>
      <c r="I630" s="6" t="s">
        <f>=G630*H629</f>
      </c>
    </row>
    <row collapsed="false" customFormat="false" customHeight="false" hidden="false" ht="12.1" outlineLevel="0" r="631">
      <c r="A631" s="13" t="n">
        <v>46023</v>
      </c>
      <c r="B631" s="6" t="n">
        <v>-102.68</v>
      </c>
      <c r="C631" s="6" t="n">
        <v>-102.68</v>
      </c>
      <c r="D631" s="16" t="s">
        <v>310</v>
      </c>
      <c r="E631" s="16"/>
      <c r="F631" s="16"/>
      <c r="G631" s="6" t="s">
        <f>=A631-A630</f>
      </c>
      <c r="H631" s="6" t="s">
        <f>=B631+H630</f>
      </c>
      <c r="I631" s="6" t="s">
        <f>=G631*H630</f>
      </c>
    </row>
    <row collapsed="false" customFormat="false" customHeight="false" hidden="false" ht="12.1" outlineLevel="0" r="632">
      <c r="A632" s="13" t="n">
        <v>46023</v>
      </c>
      <c r="B632" s="6" t="n">
        <v>-10.95</v>
      </c>
      <c r="C632" s="6" t="n">
        <v>-10.95</v>
      </c>
      <c r="D632" s="16" t="s">
        <v>567</v>
      </c>
      <c r="E632" s="16"/>
      <c r="F632" s="16"/>
      <c r="G632" s="6" t="s">
        <f>=A632-A631</f>
      </c>
      <c r="H632" s="6" t="s">
        <f>=B632+H631</f>
      </c>
      <c r="I632" s="6" t="s">
        <f>=G632*H631</f>
      </c>
    </row>
    <row collapsed="false" customFormat="false" customHeight="false" hidden="false" ht="12.1" outlineLevel="0" r="633">
      <c r="A633" s="13" t="n">
        <v>46024</v>
      </c>
      <c r="B633" s="6" t="n">
        <v>-8.7</v>
      </c>
      <c r="C633" s="6" t="n">
        <v>-8.7</v>
      </c>
      <c r="D633" s="16" t="s">
        <v>568</v>
      </c>
      <c r="E633" s="16"/>
      <c r="F633" s="16"/>
      <c r="G633" s="6" t="s">
        <f>=A633-A632</f>
      </c>
      <c r="H633" s="6" t="s">
        <f>=B633+H632</f>
      </c>
      <c r="I633" s="6" t="s">
        <f>=G633*H632</f>
      </c>
    </row>
    <row collapsed="false" customFormat="false" customHeight="false" hidden="false" ht="12.1" outlineLevel="0" r="634">
      <c r="A634" s="13" t="n">
        <v>46025</v>
      </c>
      <c r="B634" s="6" t="n">
        <v>-400</v>
      </c>
      <c r="C634" s="6" t="n">
        <v>-400</v>
      </c>
      <c r="D634" s="16" t="s">
        <v>389</v>
      </c>
      <c r="E634" s="16"/>
      <c r="F634" s="16"/>
      <c r="G634" s="6" t="s">
        <f>=A634-A633</f>
      </c>
      <c r="H634" s="6" t="s">
        <f>=B634+H633</f>
      </c>
      <c r="I634" s="6" t="s">
        <f>=G634*H633</f>
      </c>
    </row>
    <row collapsed="false" customFormat="false" customHeight="false" hidden="false" ht="12.1" outlineLevel="0" r="635">
      <c r="A635" s="13" t="n">
        <v>46026</v>
      </c>
      <c r="B635" s="6" t="n">
        <v>-49.9</v>
      </c>
      <c r="C635" s="6" t="n">
        <v>-49.9</v>
      </c>
      <c r="D635" s="16" t="s">
        <v>569</v>
      </c>
      <c r="E635" s="16"/>
      <c r="F635" s="16"/>
      <c r="G635" s="6" t="s">
        <f>=A635-A634</f>
      </c>
      <c r="H635" s="6" t="s">
        <f>=B635+H634</f>
      </c>
      <c r="I635" s="6" t="s">
        <f>=G635*H634</f>
      </c>
    </row>
    <row collapsed="false" customFormat="false" customHeight="false" hidden="false" ht="12.1" outlineLevel="0" r="636">
      <c r="A636" s="13" t="n">
        <v>46034</v>
      </c>
      <c r="B636" s="6" t="n">
        <v>-1176.52</v>
      </c>
      <c r="C636" s="6" t="n">
        <v>-1176.52</v>
      </c>
      <c r="D636" s="16" t="s">
        <v>570</v>
      </c>
      <c r="E636" s="16"/>
      <c r="F636" s="16"/>
      <c r="G636" s="6" t="s">
        <f>=A636-A635</f>
      </c>
      <c r="H636" s="6" t="s">
        <f>=B636+H635</f>
      </c>
      <c r="I636" s="6" t="s">
        <f>=G636*H635</f>
      </c>
    </row>
    <row collapsed="false" customFormat="false" customHeight="false" hidden="false" ht="12.1" outlineLevel="0" r="637">
      <c r="A637" s="13" t="n">
        <v>46034</v>
      </c>
      <c r="B637" s="6" t="n">
        <v>-345</v>
      </c>
      <c r="C637" s="6" t="n">
        <v>-345</v>
      </c>
      <c r="D637" s="16" t="s">
        <v>571</v>
      </c>
      <c r="E637" s="16"/>
      <c r="F637" s="16"/>
      <c r="G637" s="6" t="s">
        <f>=A637-A636</f>
      </c>
      <c r="H637" s="6" t="s">
        <f>=B637+H636</f>
      </c>
      <c r="I637" s="6" t="s">
        <f>=G637*H636</f>
      </c>
    </row>
    <row collapsed="false" customFormat="false" customHeight="false" hidden="false" ht="12.1" outlineLevel="0" r="638">
      <c r="A638" s="13" t="n">
        <v>46034</v>
      </c>
      <c r="B638" s="6" t="n">
        <v>438.96</v>
      </c>
      <c r="C638" s="6" t="n">
        <v>438.96</v>
      </c>
      <c r="D638" s="16" t="s">
        <v>572</v>
      </c>
      <c r="E638" s="16"/>
      <c r="F638" s="16"/>
      <c r="G638" s="6" t="s">
        <f>=A638-A637</f>
      </c>
      <c r="H638" s="6" t="s">
        <f>=B638+H637</f>
      </c>
      <c r="I638" s="6" t="s">
        <f>=G638*H637</f>
      </c>
    </row>
    <row collapsed="false" customFormat="false" customHeight="false" hidden="false" ht="12.1" outlineLevel="0" r="639">
      <c r="A639" s="13" t="n">
        <v>46035</v>
      </c>
      <c r="B639" s="6" t="n">
        <v>400</v>
      </c>
      <c r="C639" s="6" t="n">
        <v>400</v>
      </c>
      <c r="D639" s="16" t="s">
        <v>476</v>
      </c>
      <c r="E639" s="16"/>
      <c r="F639" s="16"/>
      <c r="G639" s="6" t="s">
        <f>=A639-A638</f>
      </c>
      <c r="H639" s="6" t="s">
        <f>=B639+H638</f>
      </c>
      <c r="I639" s="6" t="s">
        <f>=G639*H638</f>
      </c>
    </row>
    <row collapsed="false" customFormat="false" customHeight="false" hidden="false" ht="12.1" outlineLevel="0" r="640">
      <c r="A640" s="13" t="n">
        <v>46040</v>
      </c>
      <c r="B640" s="6" t="n">
        <v>-398.38</v>
      </c>
      <c r="C640" s="6" t="n">
        <v>-398.38</v>
      </c>
      <c r="D640" s="16" t="s">
        <v>547</v>
      </c>
      <c r="E640" s="16"/>
      <c r="F640" s="16"/>
      <c r="G640" s="6" t="s">
        <f>=A640-A639</f>
      </c>
      <c r="H640" s="6" t="s">
        <f>=B640+H639</f>
      </c>
      <c r="I640" s="6" t="s">
        <f>=G640*H639</f>
      </c>
    </row>
    <row collapsed="false" customFormat="false" customHeight="false" hidden="false" ht="12.1" outlineLevel="0" r="641">
      <c r="A641" s="13" t="n">
        <v>46044</v>
      </c>
      <c r="B641" s="6" t="n">
        <v>-175.96</v>
      </c>
      <c r="C641" s="6" t="n">
        <v>-175.96</v>
      </c>
      <c r="D641" s="16" t="s">
        <v>382</v>
      </c>
      <c r="E641" s="16"/>
      <c r="F641" s="16"/>
      <c r="G641" s="6" t="s">
        <f>=A641-A640</f>
      </c>
      <c r="H641" s="6" t="s">
        <f>=B641+H640</f>
      </c>
      <c r="I641" s="6" t="s">
        <f>=G641*H640</f>
      </c>
    </row>
    <row collapsed="false" customFormat="false" customHeight="false" hidden="false" ht="12.1" outlineLevel="0" r="642">
      <c r="A642" s="13" t="n">
        <v>46045</v>
      </c>
      <c r="B642" s="6" t="n">
        <v>-85.65</v>
      </c>
      <c r="C642" s="6" t="n">
        <v>-85.65</v>
      </c>
      <c r="D642" s="16" t="s">
        <v>573</v>
      </c>
      <c r="E642" s="16"/>
      <c r="F642" s="16"/>
      <c r="G642" s="6" t="s">
        <f>=A642-A641</f>
      </c>
      <c r="H642" s="6" t="s">
        <f>=B642+H641</f>
      </c>
      <c r="I642" s="6" t="s">
        <f>=G642*H641</f>
      </c>
    </row>
    <row collapsed="false" customFormat="false" customHeight="false" hidden="false" ht="12.1" outlineLevel="0" r="643">
      <c r="A643" s="13" t="n">
        <v>46047</v>
      </c>
      <c r="B643" s="6" t="n">
        <v>-166.42</v>
      </c>
      <c r="C643" s="6" t="n">
        <v>-166.42</v>
      </c>
      <c r="D643" s="16" t="s">
        <v>548</v>
      </c>
      <c r="E643" s="16"/>
      <c r="F643" s="16"/>
      <c r="G643" s="6" t="s">
        <f>=A643-A642</f>
      </c>
      <c r="H643" s="6" t="s">
        <f>=B643+H642</f>
      </c>
      <c r="I643" s="6" t="s">
        <f>=G643*H642</f>
      </c>
    </row>
    <row collapsed="false" customFormat="false" customHeight="false" hidden="false" ht="12.1" outlineLevel="0" r="644">
      <c r="A644" s="13" t="n">
        <v>46052</v>
      </c>
      <c r="B644" s="6" t="n">
        <v>-282.1</v>
      </c>
      <c r="C644" s="6" t="n">
        <v>-282.1</v>
      </c>
      <c r="D644" s="16" t="s">
        <v>505</v>
      </c>
      <c r="E644" s="16"/>
      <c r="F644" s="16"/>
      <c r="G644" s="6" t="s">
        <f>=A644-A643</f>
      </c>
      <c r="H644" s="6" t="s">
        <f>=B644+H643</f>
      </c>
      <c r="I644" s="6" t="s">
        <f>=G644*H643</f>
      </c>
    </row>
    <row collapsed="false" customFormat="false" customHeight="false" hidden="false" ht="12.1" outlineLevel="0" r="645">
      <c r="A645" s="13" t="n">
        <v>46053</v>
      </c>
      <c r="B645" s="6" t="n">
        <v>-76.35</v>
      </c>
      <c r="C645" s="6" t="n">
        <v>-76.35</v>
      </c>
      <c r="D645" s="16" t="s">
        <v>566</v>
      </c>
      <c r="E645" s="16"/>
      <c r="F645" s="16"/>
      <c r="G645" s="6" t="s">
        <f>=A645-A644</f>
      </c>
      <c r="H645" s="6" t="s">
        <f>=B645+H644</f>
      </c>
      <c r="I645" s="6" t="s">
        <f>=G645*H644</f>
      </c>
    </row>
    <row collapsed="false" customFormat="false" customHeight="false" hidden="false" ht="12.1" outlineLevel="0" r="646">
      <c r="A646" s="13" t="n">
        <v>46053</v>
      </c>
      <c r="B646" s="6" t="n">
        <v>14.44</v>
      </c>
      <c r="C646" s="6" t="n">
        <v>14.44</v>
      </c>
      <c r="D646" s="16" t="s">
        <v>574</v>
      </c>
      <c r="E646" s="16"/>
      <c r="F646" s="16"/>
      <c r="G646" s="6" t="s">
        <f>=A646-A645</f>
      </c>
      <c r="H646" s="6" t="s">
        <f>=B646+H645</f>
      </c>
      <c r="I646" s="6" t="s">
        <f>=G646*H645</f>
      </c>
    </row>
    <row collapsed="false" customFormat="false" customHeight="false" hidden="false" ht="12.1" outlineLevel="0" r="647">
      <c r="A647" s="13" t="n">
        <v>46053</v>
      </c>
      <c r="B647" s="6" t="n">
        <v>-222.81</v>
      </c>
      <c r="C647" s="6" t="n">
        <v>-222.81</v>
      </c>
      <c r="D647" s="16" t="s">
        <v>575</v>
      </c>
      <c r="E647" s="16"/>
      <c r="F647" s="16"/>
      <c r="G647" s="6" t="s">
        <f>=A647-A646</f>
      </c>
      <c r="H647" s="6" t="s">
        <f>=B647+H646</f>
      </c>
      <c r="I647" s="6" t="s">
        <f>=G647*H646</f>
      </c>
    </row>
    <row collapsed="false" customFormat="false" customHeight="false" hidden="false" ht="12.1" outlineLevel="0" r="648">
      <c r="A648" s="13" t="n">
        <v>46054</v>
      </c>
      <c r="B648" s="6" t="n">
        <v>-9.55</v>
      </c>
      <c r="C648" s="6" t="n">
        <v>-9.55</v>
      </c>
      <c r="D648" s="16" t="s">
        <v>576</v>
      </c>
      <c r="E648" s="16"/>
      <c r="F648" s="16"/>
      <c r="G648" s="6" t="s">
        <f>=A648-A647</f>
      </c>
      <c r="H648" s="6" t="s">
        <f>=B648+H647</f>
      </c>
      <c r="I648" s="6" t="s">
        <f>=G648*H647</f>
      </c>
    </row>
    <row collapsed="false" customFormat="false" customHeight="false" hidden="false" ht="12.1" outlineLevel="0" r="649">
      <c r="A649" s="13" t="n">
        <v>46054</v>
      </c>
      <c r="B649" s="6" t="n">
        <v>-256.2</v>
      </c>
      <c r="C649" s="6" t="n">
        <v>-256.2</v>
      </c>
      <c r="D649" s="16" t="s">
        <v>577</v>
      </c>
      <c r="E649" s="16"/>
      <c r="F649" s="16"/>
      <c r="G649" s="6" t="s">
        <f>=A649-A648</f>
      </c>
      <c r="H649" s="6" t="s">
        <f>=B649+H648</f>
      </c>
      <c r="I649" s="6" t="s">
        <f>=G649*H648</f>
      </c>
    </row>
    <row collapsed="false" customFormat="false" customHeight="false" hidden="false" ht="12.1" outlineLevel="0" r="650">
      <c r="A650" s="13" t="n">
        <v>46055</v>
      </c>
      <c r="B650" s="6" t="n">
        <v>-400</v>
      </c>
      <c r="C650" s="6" t="n">
        <v>-400</v>
      </c>
      <c r="D650" s="16" t="s">
        <v>389</v>
      </c>
      <c r="E650" s="16"/>
      <c r="F650" s="16"/>
      <c r="G650" s="6" t="s">
        <f>=A650-A649</f>
      </c>
      <c r="H650" s="6" t="s">
        <f>=B650+H649</f>
      </c>
      <c r="I650" s="6" t="s">
        <f>=G650*H649</f>
      </c>
    </row>
    <row collapsed="false" customFormat="false" customHeight="false" hidden="false" ht="12.1" outlineLevel="0" r="651">
      <c r="A651" s="13" t="n">
        <v>46055</v>
      </c>
      <c r="B651" s="6" t="n">
        <v>-6.5</v>
      </c>
      <c r="C651" s="6" t="n">
        <v>-6.5</v>
      </c>
      <c r="D651" s="16" t="s">
        <v>578</v>
      </c>
      <c r="E651" s="16"/>
      <c r="F651" s="16"/>
      <c r="G651" s="6" t="s">
        <f>=A651-A650</f>
      </c>
      <c r="H651" s="6" t="s">
        <f>=B651+H650</f>
      </c>
      <c r="I651" s="6" t="s">
        <f>=G651*H650</f>
      </c>
    </row>
    <row collapsed="false" customFormat="false" customHeight="false" hidden="false" ht="12.1" outlineLevel="0" r="652">
      <c r="A652" s="13" t="n">
        <v>46055</v>
      </c>
      <c r="B652" s="6" t="n">
        <v>479.01</v>
      </c>
      <c r="C652" s="6" t="n">
        <v>479.01</v>
      </c>
      <c r="D652" s="16" t="s">
        <v>579</v>
      </c>
      <c r="E652" s="16"/>
      <c r="F652" s="16"/>
      <c r="G652" s="6" t="s">
        <f>=A652-A651</f>
      </c>
      <c r="H652" s="6" t="s">
        <f>=B652+H651</f>
      </c>
      <c r="I652" s="6" t="s">
        <f>=G652*H651</f>
      </c>
    </row>
    <row collapsed="false" customFormat="false" customHeight="false" hidden="false" ht="12.1" outlineLevel="0" r="653">
      <c r="A653" s="13" t="n">
        <v>46056</v>
      </c>
      <c r="B653" s="6" t="n">
        <v>-45.6</v>
      </c>
      <c r="C653" s="6" t="n">
        <v>-45.6</v>
      </c>
      <c r="D653" s="16" t="s">
        <v>580</v>
      </c>
      <c r="E653" s="16"/>
      <c r="F653" s="16"/>
      <c r="G653" s="6" t="s">
        <f>=A653-A652</f>
      </c>
      <c r="H653" s="6" t="s">
        <f>=B653+H652</f>
      </c>
      <c r="I653" s="6" t="s">
        <f>=G653*H652</f>
      </c>
    </row>
    <row collapsed="false" customFormat="false" customHeight="false" hidden="false" ht="12.1" outlineLevel="0" r="654">
      <c r="A654" s="13" t="n">
        <v>46057</v>
      </c>
      <c r="B654" s="6" t="n">
        <v>400</v>
      </c>
      <c r="C654" s="6" t="n">
        <v>400</v>
      </c>
      <c r="D654" s="16" t="s">
        <v>476</v>
      </c>
      <c r="E654" s="16"/>
      <c r="F654" s="16"/>
      <c r="G654" s="6" t="s">
        <f>=A654-A653</f>
      </c>
      <c r="H654" s="6" t="s">
        <f>=B654+H653</f>
      </c>
      <c r="I654" s="6" t="s">
        <f>=G654*H653</f>
      </c>
    </row>
    <row collapsed="false" customFormat="false" customHeight="false" hidden="false" ht="12.1" outlineLevel="0" r="655">
      <c r="A655" s="13" t="n">
        <v>46064</v>
      </c>
      <c r="B655" s="6" t="n">
        <v>-2429</v>
      </c>
      <c r="C655" s="6" t="n">
        <v>-2429</v>
      </c>
      <c r="D655" s="16" t="s">
        <v>349</v>
      </c>
      <c r="E655" s="16"/>
      <c r="F655" s="16"/>
      <c r="G655" s="6" t="s">
        <f>=A655-A654</f>
      </c>
      <c r="H655" s="6" t="s">
        <f>=B655+H654</f>
      </c>
      <c r="I655" s="6" t="s">
        <f>=G655*H654</f>
      </c>
    </row>
    <row collapsed="false" customFormat="false" customHeight="false" hidden="false" ht="12.1" outlineLevel="0" r="656">
      <c r="A656" s="13" t="n">
        <v>46064</v>
      </c>
      <c r="B656" s="6" t="n">
        <v>-500</v>
      </c>
      <c r="C656" s="6" t="n">
        <v>-500</v>
      </c>
      <c r="D656" s="16" t="s">
        <v>391</v>
      </c>
      <c r="E656" s="16"/>
      <c r="F656" s="16"/>
      <c r="G656" s="6" t="s">
        <f>=A656-A655</f>
      </c>
      <c r="H656" s="6" t="s">
        <f>=B656+H655</f>
      </c>
      <c r="I656" s="6" t="s">
        <f>=G656*H655</f>
      </c>
    </row>
    <row collapsed="false" customFormat="false" customHeight="false" hidden="false" ht="12.1" outlineLevel="0" r="657">
      <c r="A657" s="13" t="n">
        <v>46065</v>
      </c>
      <c r="B657" s="6" t="n">
        <v>-121.6</v>
      </c>
      <c r="C657" s="6" t="n">
        <v>-121.6</v>
      </c>
      <c r="D657" s="16" t="s">
        <v>581</v>
      </c>
      <c r="E657" s="16"/>
      <c r="F657" s="16"/>
      <c r="G657" s="6" t="s">
        <f>=A657-A656</f>
      </c>
      <c r="H657" s="6" t="s">
        <f>=B657+H656</f>
      </c>
      <c r="I657" s="6" t="s">
        <f>=G657*H656</f>
      </c>
    </row>
    <row collapsed="false" customFormat="false" customHeight="false" hidden="false" ht="12.1" outlineLevel="0" r="658">
      <c r="A658" s="13" t="n">
        <v>46065</v>
      </c>
      <c r="B658" s="6" t="n">
        <v>500</v>
      </c>
      <c r="C658" s="6" t="n">
        <v>500</v>
      </c>
      <c r="D658" s="16" t="s">
        <v>545</v>
      </c>
      <c r="E658" s="16"/>
      <c r="F658" s="16"/>
      <c r="G658" s="6" t="s">
        <f>=A658-A657</f>
      </c>
      <c r="H658" s="6" t="s">
        <f>=B658+H657</f>
      </c>
      <c r="I658" s="6" t="s">
        <f>=G658*H657</f>
      </c>
    </row>
    <row collapsed="false" customFormat="false" customHeight="false" hidden="false" ht="12.1" outlineLevel="0" r="659">
      <c r="A659" s="13" t="n">
        <v>46066</v>
      </c>
      <c r="B659" s="6" t="n">
        <v>-115.64</v>
      </c>
      <c r="C659" s="6" t="n">
        <v>-115.64</v>
      </c>
      <c r="D659" s="16" t="s">
        <v>291</v>
      </c>
      <c r="E659" s="16"/>
      <c r="F659" s="16"/>
      <c r="G659" s="6" t="s">
        <f>=A659-A658</f>
      </c>
      <c r="H659" s="6" t="s">
        <f>=B659+H658</f>
      </c>
      <c r="I659" s="6" t="s">
        <f>=G659*H658</f>
      </c>
    </row>
    <row collapsed="false" customFormat="false" customHeight="false" hidden="false" ht="12.1" outlineLevel="0" r="660">
      <c r="A660" s="13" t="n">
        <v>46069</v>
      </c>
      <c r="B660" s="6" t="n">
        <v>330.23</v>
      </c>
      <c r="C660" s="6" t="n">
        <v>330.23</v>
      </c>
      <c r="D660" s="16" t="s">
        <v>544</v>
      </c>
      <c r="E660" s="16"/>
      <c r="F660" s="16"/>
      <c r="G660" s="6" t="s">
        <f>=A660-A659</f>
      </c>
      <c r="H660" s="6" t="s">
        <f>=B660+H659</f>
      </c>
      <c r="I660" s="6" t="s">
        <f>=G660*H659</f>
      </c>
    </row>
    <row collapsed="false" customFormat="false" customHeight="false" hidden="false" ht="12.1" outlineLevel="0" r="661">
      <c r="A661" s="13" t="n">
        <v>46070</v>
      </c>
      <c r="B661" s="6" t="n">
        <v>-398.38</v>
      </c>
      <c r="C661" s="6" t="n">
        <v>-398.38</v>
      </c>
      <c r="D661" s="16" t="s">
        <v>547</v>
      </c>
      <c r="E661" s="16"/>
      <c r="F661" s="16"/>
      <c r="G661" s="6" t="s">
        <f>=A661-A660</f>
      </c>
      <c r="H661" s="6" t="s">
        <f>=B661+H660</f>
      </c>
      <c r="I661" s="6" t="s">
        <f>=G661*H660</f>
      </c>
    </row>
    <row collapsed="false" customFormat="false" customHeight="false" hidden="false" ht="12.1" outlineLevel="0" r="662">
      <c r="A662" s="13" t="n">
        <v>46071</v>
      </c>
      <c r="B662" s="6" t="n">
        <v>-532.04</v>
      </c>
      <c r="C662" s="6" t="n">
        <v>-532.04</v>
      </c>
      <c r="D662" s="16" t="s">
        <v>352</v>
      </c>
      <c r="E662" s="16"/>
      <c r="F662" s="16"/>
      <c r="G662" s="6" t="s">
        <f>=A662-A661</f>
      </c>
      <c r="H662" s="6" t="s">
        <f>=B662+H661</f>
      </c>
      <c r="I662" s="6" t="s">
        <f>=G662*H661</f>
      </c>
    </row>
    <row collapsed="false" customFormat="false" customHeight="false" hidden="false" ht="12.1" outlineLevel="0" r="663">
      <c r="A663" s="13" t="n">
        <v>46071</v>
      </c>
      <c r="B663" s="6" t="n">
        <v>-148.8</v>
      </c>
      <c r="C663" s="6" t="n">
        <v>-148.8</v>
      </c>
      <c r="D663" s="16" t="s">
        <v>351</v>
      </c>
      <c r="E663" s="16"/>
      <c r="F663" s="16"/>
      <c r="G663" s="6" t="s">
        <f>=A663-A662</f>
      </c>
      <c r="H663" s="6" t="s">
        <f>=B663+H662</f>
      </c>
      <c r="I663" s="6" t="s">
        <f>=G663*H662</f>
      </c>
    </row>
    <row collapsed="false" customFormat="false" customHeight="false" hidden="false" ht="12.1" outlineLevel="0" r="664">
      <c r="A664" s="13" t="n">
        <v>46075</v>
      </c>
      <c r="B664" s="6" t="n">
        <v>-85.65</v>
      </c>
      <c r="C664" s="6" t="n">
        <v>-85.65</v>
      </c>
      <c r="D664" s="16" t="s">
        <v>573</v>
      </c>
      <c r="E664" s="16"/>
      <c r="F664" s="16"/>
      <c r="G664" s="6" t="s">
        <f>=A664-A663</f>
      </c>
      <c r="H664" s="6" t="s">
        <f>=B664+H663</f>
      </c>
      <c r="I664" s="6" t="s">
        <f>=G664*H663</f>
      </c>
    </row>
    <row collapsed="false" customFormat="false" customHeight="false" hidden="false" ht="12.1" outlineLevel="0" r="665">
      <c r="A665" s="13" t="n">
        <v>46076</v>
      </c>
      <c r="B665" s="6" t="n">
        <v>-260.2</v>
      </c>
      <c r="C665" s="6" t="n">
        <v>-260.2</v>
      </c>
      <c r="D665" s="16" t="s">
        <v>465</v>
      </c>
      <c r="E665" s="16"/>
      <c r="F665" s="16"/>
      <c r="G665" s="6" t="s">
        <f>=A665-A664</f>
      </c>
      <c r="H665" s="6" t="s">
        <f>=B665+H664</f>
      </c>
      <c r="I665" s="6" t="s">
        <f>=G665*H664</f>
      </c>
    </row>
    <row collapsed="false" customFormat="false" customHeight="false" hidden="false" ht="12.1" outlineLevel="0" r="666">
      <c r="A666" s="13" t="n">
        <v>46077</v>
      </c>
      <c r="B666" s="6" t="n">
        <v>-166.42</v>
      </c>
      <c r="C666" s="6" t="n">
        <v>-166.42</v>
      </c>
      <c r="D666" s="16" t="s">
        <v>548</v>
      </c>
      <c r="E666" s="16"/>
      <c r="F666" s="16"/>
      <c r="G666" s="6" t="s">
        <f>=A666-A665</f>
      </c>
      <c r="H666" s="6" t="s">
        <f>=B666+H665</f>
      </c>
      <c r="I666" s="6" t="s">
        <f>=G666*H665</f>
      </c>
    </row>
    <row collapsed="false" customFormat="false" customHeight="false" hidden="false" ht="12.1" outlineLevel="0" r="667">
      <c r="A667" s="12" t="n">
        <v>46078</v>
      </c>
      <c r="B667" s="5" t="n">
        <v>-1345815.67</v>
      </c>
      <c r="C667" s="5" t="n">
        <v>-1345815.67</v>
      </c>
      <c r="D667" s="14" t="s">
        <v>582</v>
      </c>
      <c r="E667" s="16"/>
      <c r="F667" s="16"/>
      <c r="G667" s="6" t="s">
        <f>=A667-A666</f>
      </c>
      <c r="H667" s="6" t="s">
        <f>=B667+H666</f>
      </c>
      <c r="I667" s="6" t="s">
        <f>=G667*H666</f>
      </c>
    </row>
    <row collapsed="false" customFormat="false" customHeight="false" hidden="false" ht="12.1" outlineLevel="0" r="668">
      <c r="A668" s="13"/>
      <c r="B668" s="9" t="s">
        <f>=XIRR(B2:B667,A2:A667)</f>
      </c>
      <c r="C668" s="9" t="s">
        <f>=XIRR(C2:C667,A2:A667)</f>
      </c>
      <c r="D668" s="16" t="s">
        <v>583</v>
      </c>
      <c r="E668" s="16"/>
      <c r="F668" s="16"/>
      <c r="G668" s="7"/>
      <c r="H668" s="2" t="s">
        <v>584</v>
      </c>
      <c r="I668" s="6" t="s">
        <f>=SUM(I2:I667)/365</f>
      </c>
    </row>
    <row collapsed="false" customFormat="false" customHeight="false" hidden="false" ht="12.1" outlineLevel="0" r="669">
      <c r="A669" s="13"/>
      <c r="B669" s="5" t="s">
        <f>=-SUM(B2:B667)</f>
      </c>
      <c r="C669" s="5" t="s">
        <f>=-SUM(C2:C667)</f>
      </c>
      <c r="D669" s="16" t="s">
        <v>585</v>
      </c>
      <c r="E669" s="16"/>
      <c r="F669" s="16"/>
      <c r="G669" s="7"/>
      <c r="H669" s="14" t="s">
        <v>586</v>
      </c>
      <c r="I669" s="9" t="s">
        <f>=B669/I668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R20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22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66</v>
      </c>
      <c r="AY1" s="0"/>
      <c r="AZ1" s="0"/>
      <c r="BA1" s="4" t="s">
        <v>68</v>
      </c>
      <c r="BB1" s="0"/>
      <c r="BC1" s="0"/>
      <c r="BD1" s="4" t="s">
        <v>70</v>
      </c>
      <c r="BE1" s="0"/>
      <c r="BF1" s="0"/>
      <c r="BG1" s="4" t="s">
        <v>72</v>
      </c>
      <c r="BH1" s="0"/>
      <c r="BI1" s="0"/>
      <c r="BJ1" s="4" t="s">
        <v>74</v>
      </c>
      <c r="BK1" s="0"/>
      <c r="BL1" s="0"/>
      <c r="BM1" s="4" t="s">
        <v>76</v>
      </c>
      <c r="BN1" s="0"/>
      <c r="BO1" s="0"/>
      <c r="BP1" s="4" t="s">
        <v>78</v>
      </c>
      <c r="BQ1" s="0"/>
      <c r="BR1" s="0"/>
      <c r="BS1" s="4" t="s">
        <v>80</v>
      </c>
      <c r="BT1" s="0"/>
      <c r="BU1" s="0"/>
      <c r="BV1" s="4" t="s">
        <v>82</v>
      </c>
      <c r="BW1" s="0"/>
      <c r="BX1" s="0"/>
      <c r="BY1" s="4" t="s">
        <v>84</v>
      </c>
      <c r="BZ1" s="0"/>
      <c r="CA1" s="0"/>
      <c r="CB1" s="4" t="s">
        <v>86</v>
      </c>
      <c r="CC1" s="0"/>
      <c r="CD1" s="0"/>
      <c r="CE1" s="4" t="s">
        <v>88</v>
      </c>
      <c r="CF1" s="0"/>
      <c r="CG1" s="0"/>
      <c r="CH1" s="4" t="s">
        <v>90</v>
      </c>
      <c r="CI1" s="0"/>
      <c r="CJ1" s="0"/>
      <c r="CK1" s="4" t="s">
        <v>92</v>
      </c>
      <c r="CL1" s="0"/>
      <c r="CM1" s="0"/>
      <c r="CN1" s="4" t="s">
        <v>94</v>
      </c>
      <c r="CO1" s="0"/>
      <c r="CP1" s="0"/>
      <c r="CQ1" s="4" t="s">
        <v>96</v>
      </c>
      <c r="CR1" s="0"/>
      <c r="CS1" s="0"/>
      <c r="CT1" s="4" t="s">
        <v>98</v>
      </c>
      <c r="CU1" s="0"/>
      <c r="CV1" s="0"/>
      <c r="CW1" s="4" t="s">
        <v>100</v>
      </c>
      <c r="CX1" s="0"/>
      <c r="CY1" s="0"/>
      <c r="CZ1" s="4" t="s">
        <v>102</v>
      </c>
      <c r="DA1" s="0"/>
      <c r="DB1" s="0"/>
      <c r="DC1" s="4" t="s">
        <v>104</v>
      </c>
      <c r="DD1" s="0"/>
      <c r="DE1" s="0"/>
      <c r="DF1" s="4" t="s">
        <v>106</v>
      </c>
      <c r="DG1" s="0"/>
      <c r="DH1" s="0"/>
      <c r="DI1" s="4" t="s">
        <v>108</v>
      </c>
      <c r="DJ1" s="0"/>
      <c r="DK1" s="0"/>
      <c r="DL1" s="4" t="s">
        <v>110</v>
      </c>
      <c r="DM1" s="0"/>
      <c r="DN1" s="0"/>
      <c r="DO1" s="4" t="s">
        <v>112</v>
      </c>
      <c r="DP1" s="0"/>
      <c r="DQ1" s="0"/>
      <c r="DR1" s="4" t="s">
        <v>114</v>
      </c>
      <c r="DS1" s="0"/>
      <c r="DT1" s="0"/>
      <c r="DU1" s="4" t="s">
        <v>116</v>
      </c>
      <c r="DV1" s="0"/>
      <c r="DW1" s="0"/>
      <c r="DX1" s="4" t="s">
        <v>118</v>
      </c>
      <c r="DY1" s="0"/>
      <c r="DZ1" s="0"/>
      <c r="EA1" s="4" t="s">
        <v>121</v>
      </c>
      <c r="EB1" s="0"/>
      <c r="EC1" s="0"/>
      <c r="ED1" s="4" t="s">
        <v>124</v>
      </c>
      <c r="EE1" s="0"/>
      <c r="EF1" s="0"/>
      <c r="EG1" s="4" t="s">
        <v>126</v>
      </c>
      <c r="EH1" s="0"/>
      <c r="EI1" s="0"/>
      <c r="EJ1" s="4" t="s">
        <v>128</v>
      </c>
      <c r="EK1" s="0"/>
      <c r="EL1" s="0"/>
      <c r="EM1" s="4" t="s">
        <v>130</v>
      </c>
      <c r="EN1" s="0"/>
      <c r="EO1" s="0"/>
      <c r="EP1" s="4" t="s">
        <v>134</v>
      </c>
      <c r="EQ1" s="0"/>
      <c r="ER1" s="0"/>
      <c r="ES1" s="4" t="s">
        <v>138</v>
      </c>
      <c r="ET1" s="0"/>
      <c r="EU1" s="0"/>
      <c r="EV1" s="4" t="s">
        <v>141</v>
      </c>
      <c r="EW1" s="0"/>
      <c r="EX1" s="0"/>
      <c r="EY1" s="4" t="s">
        <v>144</v>
      </c>
      <c r="EZ1" s="0"/>
      <c r="FA1" s="0"/>
      <c r="FB1" s="4" t="s">
        <v>147</v>
      </c>
      <c r="FC1" s="0"/>
      <c r="FD1" s="0"/>
      <c r="FE1" s="4" t="s">
        <v>150</v>
      </c>
      <c r="FF1" s="0"/>
      <c r="FG1" s="0"/>
      <c r="FH1" s="4" t="s">
        <v>153</v>
      </c>
      <c r="FI1" s="0"/>
      <c r="FJ1" s="0"/>
      <c r="FK1" s="4" t="s">
        <v>156</v>
      </c>
      <c r="FL1" s="0"/>
      <c r="FM1" s="0"/>
      <c r="FN1" s="4" t="s">
        <v>159</v>
      </c>
      <c r="FO1" s="0"/>
      <c r="FP1" s="0"/>
      <c r="FQ1" s="4" t="s">
        <v>162</v>
      </c>
      <c r="FR1" s="0"/>
      <c r="FS1" s="0"/>
      <c r="FT1" s="4" t="s">
        <v>165</v>
      </c>
      <c r="FU1" s="0"/>
      <c r="FV1" s="0"/>
      <c r="FW1" s="4" t="s">
        <v>168</v>
      </c>
      <c r="FX1" s="0"/>
      <c r="FY1" s="0"/>
      <c r="FZ1" s="4" t="s">
        <v>171</v>
      </c>
      <c r="GA1" s="0"/>
      <c r="GB1" s="0"/>
      <c r="GC1" s="4" t="s">
        <v>174</v>
      </c>
      <c r="GD1" s="0"/>
      <c r="GE1" s="0"/>
      <c r="GF1" s="4" t="s">
        <v>177</v>
      </c>
      <c r="GG1" s="0"/>
      <c r="GH1" s="0"/>
      <c r="GI1" s="4" t="s">
        <v>180</v>
      </c>
      <c r="GJ1" s="0"/>
      <c r="GK1" s="0"/>
      <c r="GL1" s="4" t="s">
        <v>183</v>
      </c>
      <c r="GM1" s="0"/>
      <c r="GN1" s="0"/>
      <c r="GO1" s="4" t="s">
        <v>186</v>
      </c>
      <c r="GP1" s="0"/>
      <c r="GQ1" s="0"/>
      <c r="GR1" s="4" t="s">
        <v>189</v>
      </c>
      <c r="GS1" s="0"/>
      <c r="GT1" s="0"/>
      <c r="GU1" s="4" t="s">
        <v>192</v>
      </c>
      <c r="GV1" s="0"/>
      <c r="GW1" s="0"/>
      <c r="GX1" s="4" t="s">
        <v>195</v>
      </c>
      <c r="GY1" s="0"/>
      <c r="GZ1" s="0"/>
      <c r="HA1" s="4" t="s">
        <v>198</v>
      </c>
      <c r="HB1" s="0"/>
      <c r="HC1" s="0"/>
      <c r="HD1" s="4" t="s">
        <v>201</v>
      </c>
      <c r="HE1" s="0"/>
      <c r="HF1" s="0"/>
      <c r="HG1" s="4" t="s">
        <v>204</v>
      </c>
      <c r="HH1" s="0"/>
      <c r="HI1" s="0"/>
      <c r="HJ1" s="4" t="s">
        <v>207</v>
      </c>
      <c r="HK1" s="0"/>
      <c r="HL1" s="0"/>
      <c r="HM1" s="4" t="s">
        <v>210</v>
      </c>
      <c r="HN1" s="0"/>
      <c r="HO1" s="0"/>
      <c r="HP1" s="4" t="s">
        <v>213</v>
      </c>
      <c r="HQ1" s="0"/>
      <c r="HR1" s="0"/>
      <c r="HS1" s="4" t="s">
        <v>216</v>
      </c>
      <c r="HT1" s="0"/>
      <c r="HU1" s="0"/>
      <c r="HV1" s="4" t="s">
        <v>219</v>
      </c>
      <c r="HW1" s="0"/>
      <c r="HX1" s="0"/>
      <c r="HY1" s="4" t="s">
        <v>222</v>
      </c>
      <c r="HZ1" s="0"/>
      <c r="IA1" s="0"/>
      <c r="IB1" s="4" t="s">
        <v>225</v>
      </c>
      <c r="IC1" s="0"/>
      <c r="ID1" s="0"/>
      <c r="IE1" s="4" t="s">
        <v>228</v>
      </c>
      <c r="IF1" s="0"/>
      <c r="IG1" s="0"/>
      <c r="IH1" s="4" t="s">
        <v>231</v>
      </c>
      <c r="II1" s="0"/>
      <c r="IJ1" s="0"/>
      <c r="IK1" s="4" t="s">
        <v>234</v>
      </c>
      <c r="IL1" s="0"/>
      <c r="IM1" s="0"/>
      <c r="IN1" s="4" t="s">
        <v>237</v>
      </c>
      <c r="IO1" s="0"/>
      <c r="IP1" s="0"/>
      <c r="IQ1" s="4" t="s">
        <v>240</v>
      </c>
      <c r="IR1" s="0"/>
    </row>
    <row collapsed="false" customFormat="false" customHeight="false" hidden="false" ht="12.1" outlineLevel="0" r="2">
      <c r="A2" s="11" t="n">
        <v>44644</v>
      </c>
      <c r="B2" s="6" t="n">
        <v>311.74</v>
      </c>
      <c r="C2" s="0" t="s">
        <v>587</v>
      </c>
      <c r="D2" s="11" t="n">
        <v>45943</v>
      </c>
      <c r="E2" s="6" t="n">
        <v>6369.5</v>
      </c>
      <c r="F2" s="0" t="s">
        <v>587</v>
      </c>
      <c r="G2" s="11" t="n">
        <v>44700</v>
      </c>
      <c r="H2" s="6" t="n">
        <v>3642.18</v>
      </c>
      <c r="I2" s="0" t="s">
        <v>587</v>
      </c>
      <c r="J2" s="11" t="n">
        <v>44937</v>
      </c>
      <c r="K2" s="6" t="n">
        <v>1461.87</v>
      </c>
      <c r="L2" s="0" t="s">
        <v>587</v>
      </c>
      <c r="M2" s="11" t="n">
        <v>44645</v>
      </c>
      <c r="N2" s="6" t="n">
        <v>179.86</v>
      </c>
      <c r="O2" s="0" t="s">
        <v>587</v>
      </c>
      <c r="P2" s="11" t="n">
        <v>45527</v>
      </c>
      <c r="Q2" s="6" t="n">
        <v>3241.62</v>
      </c>
      <c r="R2" s="0" t="s">
        <v>587</v>
      </c>
      <c r="S2" s="11" t="n">
        <v>45607</v>
      </c>
      <c r="T2" s="6" t="n">
        <v>5626.5</v>
      </c>
      <c r="U2" s="0" t="s">
        <v>587</v>
      </c>
      <c r="V2" s="11" t="n">
        <v>45495</v>
      </c>
      <c r="W2" s="6" t="n">
        <v>3116.5</v>
      </c>
      <c r="X2" s="0" t="s">
        <v>587</v>
      </c>
      <c r="Y2" s="11" t="n">
        <v>45474</v>
      </c>
      <c r="Z2" s="6" t="n">
        <v>6424.64</v>
      </c>
      <c r="AA2" s="0" t="s">
        <v>587</v>
      </c>
      <c r="AB2" s="11" t="n">
        <v>45323</v>
      </c>
      <c r="AC2" s="6" t="n">
        <v>1718.98</v>
      </c>
      <c r="AD2" s="0" t="s">
        <v>587</v>
      </c>
      <c r="AE2" s="11" t="n">
        <v>44776</v>
      </c>
      <c r="AF2" s="6" t="n">
        <v>383.93</v>
      </c>
      <c r="AG2" s="0" t="s">
        <v>587</v>
      </c>
      <c r="AH2" s="11" t="n">
        <v>45348</v>
      </c>
      <c r="AI2" s="6" t="n">
        <v>6705.36</v>
      </c>
      <c r="AJ2" s="0" t="s">
        <v>587</v>
      </c>
      <c r="AK2" s="11" t="n">
        <v>44672</v>
      </c>
      <c r="AL2" s="6" t="n">
        <v>3990.89</v>
      </c>
      <c r="AM2" s="0" t="s">
        <v>587</v>
      </c>
      <c r="AN2" s="11" t="n">
        <v>45446</v>
      </c>
      <c r="AO2" s="6" t="n">
        <v>2629.6</v>
      </c>
      <c r="AP2" s="0" t="s">
        <v>587</v>
      </c>
      <c r="AQ2" s="11" t="n">
        <v>45418</v>
      </c>
      <c r="AR2" s="6" t="n">
        <v>3568.85</v>
      </c>
      <c r="AS2" s="0" t="s">
        <v>587</v>
      </c>
      <c r="AT2" s="11" t="n">
        <v>45287</v>
      </c>
      <c r="AU2" s="6" t="n">
        <v>1361.08</v>
      </c>
      <c r="AV2" s="0" t="s">
        <v>587</v>
      </c>
      <c r="AW2" s="11" t="n">
        <v>45490</v>
      </c>
      <c r="AX2" s="6" t="n">
        <v>2877.31</v>
      </c>
      <c r="AY2" s="0" t="s">
        <v>587</v>
      </c>
      <c r="AZ2" s="11" t="n">
        <v>44644</v>
      </c>
      <c r="BA2" s="6" t="n">
        <v>1151.4</v>
      </c>
      <c r="BB2" s="0" t="s">
        <v>587</v>
      </c>
      <c r="BC2" s="11" t="n">
        <v>45483</v>
      </c>
      <c r="BD2" s="6" t="n">
        <v>3021.91</v>
      </c>
      <c r="BE2" s="0" t="s">
        <v>587</v>
      </c>
      <c r="BF2" s="11" t="n">
        <v>45532</v>
      </c>
      <c r="BG2" s="6" t="n">
        <v>1137.11</v>
      </c>
      <c r="BH2" s="0" t="s">
        <v>587</v>
      </c>
      <c r="BI2" s="11" t="n">
        <v>45474</v>
      </c>
      <c r="BJ2" s="6" t="n">
        <v>1777.83</v>
      </c>
      <c r="BK2" s="0" t="s">
        <v>587</v>
      </c>
      <c r="BL2" s="11" t="n">
        <v>44644</v>
      </c>
      <c r="BM2" s="6" t="n">
        <v>927.55</v>
      </c>
      <c r="BN2" s="0" t="s">
        <v>587</v>
      </c>
      <c r="BO2" s="11" t="n">
        <v>44791</v>
      </c>
      <c r="BP2" s="6" t="n">
        <v>596.86</v>
      </c>
      <c r="BQ2" s="0" t="s">
        <v>587</v>
      </c>
      <c r="BR2" s="11" t="n">
        <v>44659</v>
      </c>
      <c r="BS2" s="6" t="n">
        <v>853.42</v>
      </c>
      <c r="BT2" s="0" t="s">
        <v>587</v>
      </c>
      <c r="BU2" s="11" t="n">
        <v>44707</v>
      </c>
      <c r="BV2" s="6" t="n">
        <v>1235.74</v>
      </c>
      <c r="BW2" s="0" t="s">
        <v>587</v>
      </c>
      <c r="BX2" s="11" t="n">
        <v>45454</v>
      </c>
      <c r="BY2" s="6" t="n">
        <v>1495.45</v>
      </c>
      <c r="BZ2" s="0" t="s">
        <v>587</v>
      </c>
      <c r="CA2" s="11" t="n">
        <v>45380</v>
      </c>
      <c r="CB2" s="6" t="n">
        <v>4377.19</v>
      </c>
      <c r="CC2" s="0" t="s">
        <v>587</v>
      </c>
      <c r="CD2" s="11" t="n">
        <v>45272</v>
      </c>
      <c r="CE2" s="6" t="n">
        <v>1403.52</v>
      </c>
      <c r="CF2" s="0" t="s">
        <v>587</v>
      </c>
      <c r="CG2" s="11" t="n">
        <v>44649</v>
      </c>
      <c r="CH2" s="6" t="n">
        <v>193.12</v>
      </c>
      <c r="CI2" s="0" t="s">
        <v>587</v>
      </c>
      <c r="CJ2" s="11" t="n">
        <v>44672</v>
      </c>
      <c r="CK2" s="6" t="n">
        <v>890.54</v>
      </c>
      <c r="CL2" s="0" t="s">
        <v>587</v>
      </c>
      <c r="CM2" s="11" t="n">
        <v>44673</v>
      </c>
      <c r="CN2" s="6" t="n">
        <v>2072.85</v>
      </c>
      <c r="CO2" s="0" t="s">
        <v>587</v>
      </c>
      <c r="CP2" s="11" t="n">
        <v>44734</v>
      </c>
      <c r="CQ2" s="6" t="n">
        <v>440.07</v>
      </c>
      <c r="CR2" s="0" t="s">
        <v>587</v>
      </c>
      <c r="CS2" s="11" t="n">
        <v>45530</v>
      </c>
      <c r="CT2" s="6" t="n">
        <v>1243.79</v>
      </c>
      <c r="CU2" s="0" t="s">
        <v>587</v>
      </c>
      <c r="CV2" s="11" t="n">
        <v>44715</v>
      </c>
      <c r="CW2" s="6" t="n">
        <v>814.29</v>
      </c>
      <c r="CX2" s="0" t="s">
        <v>587</v>
      </c>
      <c r="CY2" s="11" t="n">
        <v>44714</v>
      </c>
      <c r="CZ2" s="6" t="n">
        <v>929.95</v>
      </c>
      <c r="DA2" s="0" t="s">
        <v>587</v>
      </c>
      <c r="DB2" s="11" t="n">
        <v>44645</v>
      </c>
      <c r="DC2" s="6" t="n">
        <v>667.15</v>
      </c>
      <c r="DD2" s="0" t="s">
        <v>587</v>
      </c>
      <c r="DE2" s="11" t="n">
        <v>45401</v>
      </c>
      <c r="DF2" s="6" t="n">
        <v>1665.83</v>
      </c>
      <c r="DG2" s="0" t="s">
        <v>587</v>
      </c>
      <c r="DH2" s="11" t="n">
        <v>44873</v>
      </c>
      <c r="DI2" s="6" t="n">
        <v>498.25</v>
      </c>
      <c r="DJ2" s="0" t="s">
        <v>587</v>
      </c>
      <c r="DK2" s="11" t="n">
        <v>44670</v>
      </c>
      <c r="DL2" s="6" t="n">
        <v>767.05</v>
      </c>
      <c r="DM2" s="0" t="s">
        <v>587</v>
      </c>
      <c r="DN2" s="11" t="n">
        <v>44648</v>
      </c>
      <c r="DO2" s="6" t="n">
        <v>75.6</v>
      </c>
      <c r="DP2" s="0" t="s">
        <v>587</v>
      </c>
      <c r="DQ2" s="11" t="n">
        <v>45506</v>
      </c>
      <c r="DR2" s="6" t="n">
        <v>456.31</v>
      </c>
      <c r="DS2" s="0" t="s">
        <v>587</v>
      </c>
      <c r="DT2" s="11" t="n">
        <v>44746</v>
      </c>
      <c r="DU2" s="6" t="n">
        <v>320.19</v>
      </c>
      <c r="DV2" s="0" t="s">
        <v>587</v>
      </c>
      <c r="DW2" s="11" t="n">
        <v>44806</v>
      </c>
      <c r="DX2" s="6" t="n">
        <v>720.53</v>
      </c>
      <c r="DY2" s="0" t="s">
        <v>587</v>
      </c>
      <c r="DZ2" s="11" t="n">
        <v>45321</v>
      </c>
      <c r="EA2" s="6" t="n">
        <v>13964.19</v>
      </c>
      <c r="EB2" s="0" t="s">
        <v>587</v>
      </c>
      <c r="EC2" s="11" t="n">
        <v>44651</v>
      </c>
      <c r="ED2" s="6" t="n">
        <v>99.97</v>
      </c>
      <c r="EE2" s="0" t="s">
        <v>587</v>
      </c>
      <c r="EF2" s="11" t="n">
        <v>45324</v>
      </c>
      <c r="EG2" s="6" t="n">
        <v>94285</v>
      </c>
      <c r="EH2" s="0" t="s">
        <v>587</v>
      </c>
      <c r="EI2" s="11" t="n">
        <v>44655</v>
      </c>
      <c r="EJ2" s="6" t="n">
        <v>1801.92</v>
      </c>
      <c r="EK2" s="0" t="s">
        <v>587</v>
      </c>
      <c r="EL2" s="11" t="n">
        <v>44657</v>
      </c>
      <c r="EM2" s="6" t="n">
        <v>122.41</v>
      </c>
      <c r="EN2" s="0" t="s">
        <v>587</v>
      </c>
      <c r="EO2" s="11" t="n">
        <v>45369</v>
      </c>
      <c r="EP2" s="6" t="s">
        <f>=6285.66</f>
      </c>
      <c r="EQ2" s="0" t="s">
        <v>587</v>
      </c>
      <c r="ER2" s="11" t="n">
        <v>45369</v>
      </c>
      <c r="ES2" s="6" t="s">
        <f>=6515.97</f>
      </c>
      <c r="ET2" s="0" t="s">
        <v>587</v>
      </c>
      <c r="EU2" s="11" t="n">
        <v>45509</v>
      </c>
      <c r="EV2" s="6" t="s">
        <f>=33041.43</f>
      </c>
      <c r="EW2" s="0" t="s">
        <v>587</v>
      </c>
      <c r="EX2" s="11" t="n">
        <v>45369</v>
      </c>
      <c r="EY2" s="6" t="s">
        <f>=9535.31</f>
      </c>
      <c r="EZ2" s="0" t="s">
        <v>587</v>
      </c>
      <c r="FA2" s="11" t="n">
        <v>45280</v>
      </c>
      <c r="FB2" s="6" t="s">
        <f>=2951.07</f>
      </c>
      <c r="FC2" s="0" t="s">
        <v>587</v>
      </c>
      <c r="FD2" s="11" t="n">
        <v>45379</v>
      </c>
      <c r="FE2" s="6" t="s">
        <f>=7727.6</f>
      </c>
      <c r="FF2" s="0" t="s">
        <v>587</v>
      </c>
      <c r="FG2" s="11" t="n">
        <v>45551</v>
      </c>
      <c r="FH2" s="6" t="s">
        <f>=17071.5</f>
      </c>
      <c r="FI2" s="0" t="s">
        <v>587</v>
      </c>
      <c r="FJ2" s="11" t="n">
        <v>45307</v>
      </c>
      <c r="FK2" s="6" t="s">
        <f>=4174.34</f>
      </c>
      <c r="FL2" s="0" t="s">
        <v>587</v>
      </c>
      <c r="FM2" s="11" t="n">
        <v>45551</v>
      </c>
      <c r="FN2" s="6" t="s">
        <f>=14846.15</f>
      </c>
      <c r="FO2" s="0" t="s">
        <v>587</v>
      </c>
      <c r="FP2" s="11" t="n">
        <v>45365</v>
      </c>
      <c r="FQ2" s="6" t="s">
        <f>=9631.88</f>
      </c>
      <c r="FR2" s="0" t="s">
        <v>587</v>
      </c>
      <c r="FS2" s="11" t="n">
        <v>45551</v>
      </c>
      <c r="FT2" s="6" t="s">
        <f>=16988.44</f>
      </c>
      <c r="FU2" s="0" t="s">
        <v>587</v>
      </c>
      <c r="FV2" s="11" t="n">
        <v>45551</v>
      </c>
      <c r="FW2" s="6" t="s">
        <f>=17048.48</f>
      </c>
      <c r="FX2" s="0" t="s">
        <v>587</v>
      </c>
      <c r="FY2" s="11" t="n">
        <v>45391</v>
      </c>
      <c r="FZ2" s="6" t="s">
        <f>=5379.14</f>
      </c>
      <c r="GA2" s="0" t="s">
        <v>587</v>
      </c>
      <c r="GB2" s="11" t="n">
        <v>45327</v>
      </c>
      <c r="GC2" s="6" t="s">
        <f>=9441.04</f>
      </c>
      <c r="GD2" s="0" t="s">
        <v>587</v>
      </c>
      <c r="GE2" s="11" t="n">
        <v>45273</v>
      </c>
      <c r="GF2" s="6" t="s">
        <f>=957.93</f>
      </c>
      <c r="GG2" s="0" t="s">
        <v>587</v>
      </c>
      <c r="GH2" s="11" t="n">
        <v>45391</v>
      </c>
      <c r="GI2" s="6" t="s">
        <f>=5245.04</f>
      </c>
      <c r="GJ2" s="0" t="s">
        <v>587</v>
      </c>
      <c r="GK2" s="11" t="n">
        <v>46001</v>
      </c>
      <c r="GL2" s="6" t="s">
        <f>=8531.54</f>
      </c>
      <c r="GM2" s="0" t="s">
        <v>587</v>
      </c>
      <c r="GN2" s="11" t="n">
        <v>45509</v>
      </c>
      <c r="GO2" s="6" t="s">
        <f>=7356.81</f>
      </c>
      <c r="GP2" s="0" t="s">
        <v>587</v>
      </c>
      <c r="GQ2" s="11" t="n">
        <v>46015</v>
      </c>
      <c r="GR2" s="6" t="s">
        <f>=5380.94</f>
      </c>
      <c r="GS2" s="0" t="s">
        <v>587</v>
      </c>
      <c r="GT2" s="11" t="n">
        <v>45307</v>
      </c>
      <c r="GU2" s="6" t="s">
        <f>=2002.26</f>
      </c>
      <c r="GV2" s="0" t="s">
        <v>587</v>
      </c>
      <c r="GW2" s="11" t="n">
        <v>45604</v>
      </c>
      <c r="GX2" s="6" t="s">
        <f>=4631.77</f>
      </c>
      <c r="GY2" s="0" t="s">
        <v>587</v>
      </c>
      <c r="GZ2" s="11" t="n">
        <v>45307</v>
      </c>
      <c r="HA2" s="6" t="s">
        <f>=4654.22</f>
      </c>
      <c r="HB2" s="0" t="s">
        <v>587</v>
      </c>
      <c r="HC2" s="11" t="n">
        <v>46015</v>
      </c>
      <c r="HD2" s="6" t="s">
        <f>=5068.37</f>
      </c>
      <c r="HE2" s="0" t="s">
        <v>587</v>
      </c>
      <c r="HF2" s="11" t="n">
        <v>45495</v>
      </c>
      <c r="HG2" s="6" t="s">
        <f>=4205.91</f>
      </c>
      <c r="HH2" s="0" t="s">
        <v>587</v>
      </c>
      <c r="HI2" s="11" t="n">
        <v>45321</v>
      </c>
      <c r="HJ2" s="6" t="s">
        <f>=2710.37</f>
      </c>
      <c r="HK2" s="0" t="s">
        <v>587</v>
      </c>
      <c r="HL2" s="11" t="n">
        <v>45307</v>
      </c>
      <c r="HM2" s="6" t="s">
        <f>=1910.39</f>
      </c>
      <c r="HN2" s="0" t="s">
        <v>587</v>
      </c>
      <c r="HO2" s="11" t="n">
        <v>45308</v>
      </c>
      <c r="HP2" s="6" t="s">
        <f>=5094.78</f>
      </c>
      <c r="HQ2" s="0" t="s">
        <v>587</v>
      </c>
      <c r="HR2" s="11" t="n">
        <v>45321</v>
      </c>
      <c r="HS2" s="6" t="s">
        <f>=2803.7</f>
      </c>
      <c r="HT2" s="0" t="s">
        <v>587</v>
      </c>
      <c r="HU2" s="11" t="n">
        <v>45273</v>
      </c>
      <c r="HV2" s="6" t="s">
        <f>=4872.85</f>
      </c>
      <c r="HW2" s="0" t="s">
        <v>587</v>
      </c>
      <c r="HX2" s="11" t="n">
        <v>45307</v>
      </c>
      <c r="HY2" s="6" t="s">
        <f>=2094.42</f>
      </c>
      <c r="HZ2" s="0" t="s">
        <v>587</v>
      </c>
      <c r="IA2" s="11" t="n">
        <v>45273</v>
      </c>
      <c r="IB2" s="6" t="s">
        <f>=1985.78</f>
      </c>
      <c r="IC2" s="0" t="s">
        <v>587</v>
      </c>
      <c r="ID2" s="11" t="n">
        <v>45324</v>
      </c>
      <c r="IE2" s="6" t="s">
        <f>=6246.58</f>
      </c>
      <c r="IF2" s="0" t="s">
        <v>587</v>
      </c>
      <c r="IG2" s="11" t="n">
        <v>44960</v>
      </c>
      <c r="IH2" s="6" t="s">
        <f>=937.71</f>
      </c>
      <c r="II2" s="0" t="s">
        <v>587</v>
      </c>
      <c r="IJ2" s="11" t="n">
        <v>45348</v>
      </c>
      <c r="IK2" s="6" t="s">
        <f>=724.33</f>
      </c>
      <c r="IL2" s="0" t="s">
        <v>587</v>
      </c>
      <c r="IM2" s="11" t="n">
        <v>45488</v>
      </c>
      <c r="IN2" s="6" t="s">
        <f>=6040.4</f>
      </c>
      <c r="IO2" s="0" t="s">
        <v>587</v>
      </c>
      <c r="IP2" s="11" t="n">
        <v>45321</v>
      </c>
      <c r="IQ2" s="6" t="s">
        <f>=1905.75</f>
      </c>
      <c r="IR2" s="0" t="s">
        <v>587</v>
      </c>
    </row>
    <row collapsed="false" customFormat="false" customHeight="false" hidden="false" ht="12.1" outlineLevel="0" r="3">
      <c r="A3" s="11" t="n">
        <v>44753</v>
      </c>
      <c r="B3" s="6" t="n">
        <v>-20.63</v>
      </c>
      <c r="C3" s="0" t="s">
        <v>258</v>
      </c>
      <c r="D3" s="11" t="n">
        <v>45950</v>
      </c>
      <c r="E3" s="6" t="n">
        <v>15997.59</v>
      </c>
      <c r="F3" s="0" t="s">
        <v>587</v>
      </c>
      <c r="G3" s="11" t="n">
        <v>44762</v>
      </c>
      <c r="H3" s="6" t="n">
        <v>-412</v>
      </c>
      <c r="I3" s="0" t="s">
        <v>259</v>
      </c>
      <c r="J3" s="11" t="n">
        <v>45002</v>
      </c>
      <c r="K3" s="6" t="n">
        <v>-1812.25</v>
      </c>
      <c r="L3" s="0" t="s">
        <v>588</v>
      </c>
      <c r="M3" s="11" t="n">
        <v>44813</v>
      </c>
      <c r="N3" s="6" t="n">
        <v>-197.63</v>
      </c>
      <c r="O3" s="0" t="s">
        <v>588</v>
      </c>
      <c r="P3" s="11" t="n">
        <v>45603</v>
      </c>
      <c r="Q3" s="6" t="n">
        <v>4255.9</v>
      </c>
      <c r="R3" s="0" t="s">
        <v>587</v>
      </c>
      <c r="S3" s="11" t="n">
        <v>46078</v>
      </c>
      <c r="T3" s="8" t="s">
        <f>=-Портфель!J8</f>
      </c>
      <c r="U3" s="0" t="s">
        <v>589</v>
      </c>
      <c r="V3" s="11" t="n">
        <v>45509</v>
      </c>
      <c r="W3" s="6" t="n">
        <v>4260.4</v>
      </c>
      <c r="X3" s="0" t="s">
        <v>587</v>
      </c>
      <c r="Y3" s="11" t="n">
        <v>45488</v>
      </c>
      <c r="Z3" s="6" t="n">
        <v>-358.13</v>
      </c>
      <c r="AA3" s="0" t="s">
        <v>336</v>
      </c>
      <c r="AB3" s="11" t="n">
        <v>45491</v>
      </c>
      <c r="AC3" s="6" t="n">
        <v>3003.4</v>
      </c>
      <c r="AD3" s="0" t="s">
        <v>587</v>
      </c>
      <c r="AE3" s="11" t="n">
        <v>44866</v>
      </c>
      <c r="AF3" s="6" t="n">
        <v>-434.1</v>
      </c>
      <c r="AG3" s="0" t="s">
        <v>588</v>
      </c>
      <c r="AH3" s="11" t="n">
        <v>45377</v>
      </c>
      <c r="AI3" s="6" t="n">
        <v>-191.45</v>
      </c>
      <c r="AJ3" s="0" t="s">
        <v>304</v>
      </c>
      <c r="AK3" s="11" t="n">
        <v>44673</v>
      </c>
      <c r="AL3" s="6" t="n">
        <v>3802.28</v>
      </c>
      <c r="AM3" s="0" t="s">
        <v>587</v>
      </c>
      <c r="AN3" s="11" t="n">
        <v>45537</v>
      </c>
      <c r="AO3" s="6" t="n">
        <v>1789.13</v>
      </c>
      <c r="AP3" s="0" t="s">
        <v>587</v>
      </c>
      <c r="AQ3" s="11" t="n">
        <v>45454</v>
      </c>
      <c r="AR3" s="6" t="n">
        <v>2888.81</v>
      </c>
      <c r="AS3" s="0" t="s">
        <v>587</v>
      </c>
      <c r="AT3" s="11" t="n">
        <v>46078</v>
      </c>
      <c r="AU3" s="8" t="s">
        <f>=-Портфель!J17</f>
      </c>
      <c r="AV3" s="0" t="s">
        <v>589</v>
      </c>
      <c r="AW3" s="11" t="n">
        <v>45491</v>
      </c>
      <c r="AX3" s="6" t="n">
        <v>-308.4</v>
      </c>
      <c r="AY3" s="0" t="s">
        <v>340</v>
      </c>
      <c r="AZ3" s="11" t="n">
        <v>44670</v>
      </c>
      <c r="BA3" s="6" t="n">
        <v>1182.11</v>
      </c>
      <c r="BB3" s="0" t="s">
        <v>587</v>
      </c>
      <c r="BC3" s="11" t="n">
        <v>46078</v>
      </c>
      <c r="BD3" s="8" t="s">
        <f>=-Портфель!J20</f>
      </c>
      <c r="BE3" s="0" t="s">
        <v>589</v>
      </c>
      <c r="BF3" s="11" t="n">
        <v>45931</v>
      </c>
      <c r="BG3" s="6" t="n">
        <v>1169.53</v>
      </c>
      <c r="BH3" s="0" t="s">
        <v>587</v>
      </c>
      <c r="BI3" s="11" t="n">
        <v>45484</v>
      </c>
      <c r="BJ3" s="6" t="n">
        <v>1664.33</v>
      </c>
      <c r="BK3" s="0" t="s">
        <v>587</v>
      </c>
      <c r="BL3" s="11" t="n">
        <v>45093</v>
      </c>
      <c r="BM3" s="6" t="n">
        <v>-42.4</v>
      </c>
      <c r="BN3" s="0" t="s">
        <v>270</v>
      </c>
      <c r="BO3" s="11" t="n">
        <v>44792</v>
      </c>
      <c r="BP3" s="6" t="n">
        <v>-614.12</v>
      </c>
      <c r="BQ3" s="0" t="s">
        <v>588</v>
      </c>
      <c r="BR3" s="11" t="n">
        <v>44727</v>
      </c>
      <c r="BS3" s="6" t="n">
        <v>664.9</v>
      </c>
      <c r="BT3" s="0" t="s">
        <v>587</v>
      </c>
      <c r="BU3" s="11" t="n">
        <v>44726</v>
      </c>
      <c r="BV3" s="6" t="n">
        <v>-1517.09</v>
      </c>
      <c r="BW3" s="0" t="s">
        <v>588</v>
      </c>
      <c r="BX3" s="11" t="n">
        <v>45491</v>
      </c>
      <c r="BY3" s="6" t="n">
        <v>1248.19</v>
      </c>
      <c r="BZ3" s="0" t="s">
        <v>587</v>
      </c>
      <c r="CA3" s="11" t="n">
        <v>45380</v>
      </c>
      <c r="CB3" s="6" t="n">
        <v>-4966.02</v>
      </c>
      <c r="CC3" s="0" t="s">
        <v>588</v>
      </c>
      <c r="CD3" s="11" t="n">
        <v>45562</v>
      </c>
      <c r="CE3" s="6" t="n">
        <v>-105.2</v>
      </c>
      <c r="CF3" s="0" t="s">
        <v>371</v>
      </c>
      <c r="CG3" s="11" t="n">
        <v>44722</v>
      </c>
      <c r="CH3" s="6" t="n">
        <v>-20.66</v>
      </c>
      <c r="CI3" s="0" t="s">
        <v>257</v>
      </c>
      <c r="CJ3" s="11" t="n">
        <v>44689</v>
      </c>
      <c r="CK3" s="6" t="n">
        <v>-12.4</v>
      </c>
      <c r="CL3" s="0" t="s">
        <v>256</v>
      </c>
      <c r="CM3" s="11" t="n">
        <v>44845</v>
      </c>
      <c r="CN3" s="6" t="n">
        <v>-444.3</v>
      </c>
      <c r="CO3" s="0" t="s">
        <v>261</v>
      </c>
      <c r="CP3" s="11" t="n">
        <v>44798</v>
      </c>
      <c r="CQ3" s="6" t="n">
        <v>466.28</v>
      </c>
      <c r="CR3" s="0" t="s">
        <v>587</v>
      </c>
      <c r="CS3" s="11" t="n">
        <v>45649</v>
      </c>
      <c r="CT3" s="6" t="n">
        <v>-197.6</v>
      </c>
      <c r="CU3" s="0" t="s">
        <v>418</v>
      </c>
      <c r="CV3" s="11" t="n">
        <v>45461</v>
      </c>
      <c r="CW3" s="6" t="n">
        <v>-33.3</v>
      </c>
      <c r="CX3" s="0" t="s">
        <v>328</v>
      </c>
      <c r="CY3" s="11" t="n">
        <v>44761</v>
      </c>
      <c r="CZ3" s="6" t="n">
        <v>-1028.39</v>
      </c>
      <c r="DA3" s="0" t="s">
        <v>588</v>
      </c>
      <c r="DB3" s="11" t="n">
        <v>44820</v>
      </c>
      <c r="DC3" s="6" t="n">
        <v>480.24</v>
      </c>
      <c r="DD3" s="0" t="s">
        <v>587</v>
      </c>
      <c r="DE3" s="11" t="n">
        <v>45482</v>
      </c>
      <c r="DF3" s="6" t="n">
        <v>-20.67</v>
      </c>
      <c r="DG3" s="0" t="s">
        <v>333</v>
      </c>
      <c r="DH3" s="11" t="n">
        <v>45114</v>
      </c>
      <c r="DI3" s="6" t="n">
        <v>-68</v>
      </c>
      <c r="DJ3" s="0" t="s">
        <v>271</v>
      </c>
      <c r="DK3" s="11" t="n">
        <v>46078</v>
      </c>
      <c r="DL3" s="8" t="s">
        <f>=-Портфель!J40</f>
      </c>
      <c r="DM3" s="0" t="s">
        <v>589</v>
      </c>
      <c r="DN3" s="11" t="n">
        <v>44960</v>
      </c>
      <c r="DO3" s="6" t="n">
        <v>242.21</v>
      </c>
      <c r="DP3" s="0" t="s">
        <v>587</v>
      </c>
      <c r="DQ3" s="11" t="n">
        <v>45517</v>
      </c>
      <c r="DR3" s="6" t="n">
        <v>-527.7</v>
      </c>
      <c r="DS3" s="0" t="s">
        <v>588</v>
      </c>
      <c r="DT3" s="11" t="n">
        <v>45453</v>
      </c>
      <c r="DU3" s="6" t="n">
        <v>-23.52</v>
      </c>
      <c r="DV3" s="0" t="s">
        <v>322</v>
      </c>
      <c r="DW3" s="11" t="n">
        <v>46078</v>
      </c>
      <c r="DX3" s="8" t="s">
        <f>=-Портфель!J44</f>
      </c>
      <c r="DY3" s="0" t="s">
        <v>589</v>
      </c>
      <c r="DZ3" s="11" t="n">
        <v>45327</v>
      </c>
      <c r="EA3" s="6" t="n">
        <v>6989.09</v>
      </c>
      <c r="EB3" s="0" t="s">
        <v>587</v>
      </c>
      <c r="EC3" s="11" t="n">
        <v>44666</v>
      </c>
      <c r="ED3" s="6" t="n">
        <v>95.47</v>
      </c>
      <c r="EE3" s="0" t="s">
        <v>587</v>
      </c>
      <c r="EF3" s="11" t="n">
        <v>45418</v>
      </c>
      <c r="EG3" s="6" t="n">
        <v>13674.8844</v>
      </c>
      <c r="EH3" s="0" t="s">
        <v>587</v>
      </c>
      <c r="EI3" s="11" t="n">
        <v>44658</v>
      </c>
      <c r="EJ3" s="6" t="n">
        <v>-1015.74</v>
      </c>
      <c r="EK3" s="0" t="s">
        <v>588</v>
      </c>
      <c r="EL3" s="11" t="n">
        <v>44658</v>
      </c>
      <c r="EM3" s="6" t="n">
        <v>82.96</v>
      </c>
      <c r="EN3" s="0" t="s">
        <v>587</v>
      </c>
      <c r="EO3" s="11" t="n">
        <v>45429</v>
      </c>
      <c r="EP3" s="6" t="s">
        <f>=10350.01</f>
      </c>
      <c r="EQ3" s="0" t="s">
        <v>587</v>
      </c>
      <c r="ER3" s="11" t="n">
        <v>45429</v>
      </c>
      <c r="ES3" s="6" t="s">
        <f>=12555.13</f>
      </c>
      <c r="ET3" s="0" t="s">
        <v>587</v>
      </c>
      <c r="EU3" s="11" t="n">
        <v>45560</v>
      </c>
      <c r="EV3" s="6" t="s">
        <f>=2111.98</f>
      </c>
      <c r="EW3" s="0" t="s">
        <v>587</v>
      </c>
      <c r="EX3" s="11" t="n">
        <v>45378</v>
      </c>
      <c r="EY3" s="6" t="s">
        <f>=-412.7</f>
      </c>
      <c r="EZ3" s="0" t="s">
        <v>306</v>
      </c>
      <c r="FA3" s="11" t="n">
        <v>45290</v>
      </c>
      <c r="FB3" s="6" t="s">
        <f>=-29.54</f>
      </c>
      <c r="FC3" s="0" t="s">
        <v>281</v>
      </c>
      <c r="FD3" s="11" t="n">
        <v>45385</v>
      </c>
      <c r="FE3" s="6" t="s">
        <f>=-333.9</f>
      </c>
      <c r="FF3" s="0" t="s">
        <v>309</v>
      </c>
      <c r="FG3" s="11" t="n">
        <v>45560</v>
      </c>
      <c r="FH3" s="6" t="s">
        <f>=-760.6</f>
      </c>
      <c r="FI3" s="0" t="s">
        <v>369</v>
      </c>
      <c r="FJ3" s="11" t="n">
        <v>45327</v>
      </c>
      <c r="FK3" s="6" t="s">
        <f>=4195.66</f>
      </c>
      <c r="FL3" s="0" t="s">
        <v>587</v>
      </c>
      <c r="FM3" s="11" t="n">
        <v>45573</v>
      </c>
      <c r="FN3" s="6" t="s">
        <f>=10033.89</f>
      </c>
      <c r="FO3" s="0" t="s">
        <v>587</v>
      </c>
      <c r="FP3" s="11" t="n">
        <v>45434</v>
      </c>
      <c r="FQ3" s="6" t="s">
        <f>=-279.6</f>
      </c>
      <c r="FR3" s="0" t="s">
        <v>318</v>
      </c>
      <c r="FS3" s="11" t="n">
        <v>45630</v>
      </c>
      <c r="FT3" s="6" t="s">
        <f>=-1185.6</f>
      </c>
      <c r="FU3" s="0" t="s">
        <v>405</v>
      </c>
      <c r="FV3" s="11" t="n">
        <v>45623</v>
      </c>
      <c r="FW3" s="6" t="s">
        <f>=-1144.6</f>
      </c>
      <c r="FX3" s="0" t="s">
        <v>395</v>
      </c>
      <c r="FY3" s="11" t="n">
        <v>45457</v>
      </c>
      <c r="FZ3" s="6" t="s">
        <f>=-108.81</f>
      </c>
      <c r="GA3" s="0" t="s">
        <v>326</v>
      </c>
      <c r="GB3" s="11" t="n">
        <v>45341</v>
      </c>
      <c r="GC3" s="6" t="s">
        <f>=4713.4</f>
      </c>
      <c r="GD3" s="0" t="s">
        <v>587</v>
      </c>
      <c r="GE3" s="11" t="n">
        <v>45297</v>
      </c>
      <c r="GF3" s="6" t="s">
        <f>=-10.26</f>
      </c>
      <c r="GG3" s="0" t="s">
        <v>282</v>
      </c>
      <c r="GH3" s="11" t="n">
        <v>45407</v>
      </c>
      <c r="GI3" s="6" t="s">
        <f>=-102.81</f>
      </c>
      <c r="GJ3" s="0" t="s">
        <v>312</v>
      </c>
      <c r="GK3" s="11" t="n">
        <v>46366</v>
      </c>
      <c r="GL3" s="8" t="s">
        <f>=-Портфель!J68</f>
      </c>
      <c r="GM3" s="0" t="s">
        <v>589</v>
      </c>
      <c r="GN3" s="11" t="n">
        <v>45616</v>
      </c>
      <c r="GO3" s="6" t="s">
        <f>=-247.2</f>
      </c>
      <c r="GP3" s="0" t="s">
        <v>394</v>
      </c>
      <c r="GQ3" s="11" t="n">
        <v>46045</v>
      </c>
      <c r="GR3" s="6" t="s">
        <f>=-85.65</f>
      </c>
      <c r="GS3" s="0" t="s">
        <v>573</v>
      </c>
      <c r="GT3" s="11" t="n">
        <v>45341</v>
      </c>
      <c r="GU3" s="6" t="s">
        <f>=2013.7</f>
      </c>
      <c r="GV3" s="0" t="s">
        <v>587</v>
      </c>
      <c r="GW3" s="11" t="n">
        <v>45688</v>
      </c>
      <c r="GX3" s="6" t="s">
        <f>=-173.45</f>
      </c>
      <c r="GY3" s="0" t="s">
        <v>429</v>
      </c>
      <c r="GZ3" s="11" t="n">
        <v>45348</v>
      </c>
      <c r="HA3" s="6" t="s">
        <f>=-79.6</f>
      </c>
      <c r="HB3" s="0" t="s">
        <v>294</v>
      </c>
      <c r="HC3" s="11" t="n">
        <v>46023</v>
      </c>
      <c r="HD3" s="6" t="s">
        <f>=-76.35</f>
      </c>
      <c r="HE3" s="0" t="s">
        <v>566</v>
      </c>
      <c r="HF3" s="11" t="n">
        <v>45629</v>
      </c>
      <c r="HG3" s="6" t="s">
        <f>=-244.5</f>
      </c>
      <c r="HH3" s="0" t="s">
        <v>402</v>
      </c>
      <c r="HI3" s="11" t="n">
        <v>45341</v>
      </c>
      <c r="HJ3" s="6" t="s">
        <f>=1814.64</f>
      </c>
      <c r="HK3" s="0" t="s">
        <v>587</v>
      </c>
      <c r="HL3" s="11" t="n">
        <v>45321</v>
      </c>
      <c r="HM3" s="6" t="s">
        <f>=1917.37</f>
      </c>
      <c r="HN3" s="0" t="s">
        <v>587</v>
      </c>
      <c r="HO3" s="11" t="n">
        <v>45336</v>
      </c>
      <c r="HP3" s="6" t="s">
        <f>=-56.75</f>
      </c>
      <c r="HQ3" s="0" t="s">
        <v>289</v>
      </c>
      <c r="HR3" s="11" t="n">
        <v>45352</v>
      </c>
      <c r="HS3" s="6" t="s">
        <f>=-64.43</f>
      </c>
      <c r="HT3" s="0" t="s">
        <v>295</v>
      </c>
      <c r="HU3" s="11" t="n">
        <v>45337</v>
      </c>
      <c r="HV3" s="6" t="s">
        <f>=-173.45</f>
      </c>
      <c r="HW3" s="0" t="s">
        <v>290</v>
      </c>
      <c r="HX3" s="11" t="n">
        <v>45338</v>
      </c>
      <c r="HY3" s="6" t="s">
        <f>=-115.64</f>
      </c>
      <c r="HZ3" s="0" t="s">
        <v>291</v>
      </c>
      <c r="IA3" s="11" t="n">
        <v>45433</v>
      </c>
      <c r="IB3" s="6" t="s">
        <f>=-110.28</f>
      </c>
      <c r="IC3" s="0" t="s">
        <v>317</v>
      </c>
      <c r="ID3" s="11" t="n">
        <v>45352</v>
      </c>
      <c r="IE3" s="6" t="s">
        <f>=-38.52</f>
      </c>
      <c r="IF3" s="0" t="s">
        <v>296</v>
      </c>
      <c r="IG3" s="11" t="n">
        <v>45089</v>
      </c>
      <c r="IH3" s="6" t="s">
        <f>=-26.92</f>
      </c>
      <c r="II3" s="0" t="s">
        <v>269</v>
      </c>
      <c r="IJ3" s="11" t="n">
        <v>45363</v>
      </c>
      <c r="IK3" s="6" t="s">
        <f>=-15.09</f>
      </c>
      <c r="IL3" s="0" t="s">
        <v>298</v>
      </c>
      <c r="IM3" s="11" t="n">
        <v>45505</v>
      </c>
      <c r="IN3" s="6" t="s">
        <f>=-412.5</f>
      </c>
      <c r="IO3" s="0" t="s">
        <v>345</v>
      </c>
      <c r="IP3" s="11" t="n">
        <v>45332</v>
      </c>
      <c r="IQ3" s="6" t="s">
        <f>=-18.36</f>
      </c>
      <c r="IR3" s="0" t="s">
        <v>288</v>
      </c>
    </row>
    <row collapsed="false" customFormat="false" customHeight="false" hidden="false" ht="12.1" outlineLevel="0" r="4">
      <c r="A4" s="11" t="n">
        <v>44771</v>
      </c>
      <c r="B4" s="6" t="n">
        <v>349.7</v>
      </c>
      <c r="C4" s="0" t="s">
        <v>587</v>
      </c>
      <c r="D4" s="11" t="n">
        <v>46308</v>
      </c>
      <c r="E4" s="8" t="s">
        <f>=-Портфель!J3</f>
      </c>
      <c r="F4" s="0" t="s">
        <v>589</v>
      </c>
      <c r="G4" s="11" t="n">
        <v>45127</v>
      </c>
      <c r="H4" s="6" t="n">
        <v>-70</v>
      </c>
      <c r="I4" s="0" t="s">
        <v>275</v>
      </c>
      <c r="J4" s="11" t="n">
        <v>45621</v>
      </c>
      <c r="K4" s="6" t="n">
        <v>4607.68</v>
      </c>
      <c r="L4" s="0" t="s">
        <v>587</v>
      </c>
      <c r="M4" s="11" t="n">
        <v>45971</v>
      </c>
      <c r="N4" s="6" t="n">
        <v>7051.64</v>
      </c>
      <c r="O4" s="0" t="s">
        <v>587</v>
      </c>
      <c r="P4" s="11" t="n">
        <v>45852</v>
      </c>
      <c r="Q4" s="6" t="n">
        <v>-749.57</v>
      </c>
      <c r="R4" s="0" t="s">
        <v>495</v>
      </c>
      <c r="S4" s="0"/>
      <c r="T4" s="10" t="s">
        <f>=XIRR(T2:T3,S2:S3)</f>
      </c>
      <c r="U4" s="0"/>
      <c r="V4" s="11" t="n">
        <v>45846</v>
      </c>
      <c r="W4" s="6" t="n">
        <v>-152</v>
      </c>
      <c r="X4" s="0" t="s">
        <v>489</v>
      </c>
      <c r="Y4" s="11" t="n">
        <v>45537</v>
      </c>
      <c r="Z4" s="6" t="n">
        <v>4667.72</v>
      </c>
      <c r="AA4" s="0" t="s">
        <v>587</v>
      </c>
      <c r="AB4" s="11" t="n">
        <v>46078</v>
      </c>
      <c r="AC4" s="8" t="s">
        <f>=-Портфель!J11</f>
      </c>
      <c r="AD4" s="0" t="s">
        <v>589</v>
      </c>
      <c r="AE4" s="11" t="n">
        <v>45530</v>
      </c>
      <c r="AF4" s="6" t="n">
        <v>1316.96</v>
      </c>
      <c r="AG4" s="0" t="s">
        <v>587</v>
      </c>
      <c r="AH4" s="11" t="n">
        <v>45576</v>
      </c>
      <c r="AI4" s="6" t="n">
        <v>-154.5</v>
      </c>
      <c r="AJ4" s="0" t="s">
        <v>377</v>
      </c>
      <c r="AK4" s="11" t="n">
        <v>44697</v>
      </c>
      <c r="AL4" s="6" t="n">
        <v>-4575.26</v>
      </c>
      <c r="AM4" s="0" t="s">
        <v>588</v>
      </c>
      <c r="AN4" s="11" t="n">
        <v>46078</v>
      </c>
      <c r="AO4" s="8" t="s">
        <f>=-Портфель!J15</f>
      </c>
      <c r="AP4" s="0" t="s">
        <v>589</v>
      </c>
      <c r="AQ4" s="11" t="n">
        <v>45491</v>
      </c>
      <c r="AR4" s="6" t="n">
        <v>-148</v>
      </c>
      <c r="AS4" s="0" t="s">
        <v>339</v>
      </c>
      <c r="AT4" s="0"/>
      <c r="AU4" s="10" t="s">
        <f>=XIRR(AU2:AU3,AT2:AT3)</f>
      </c>
      <c r="AV4" s="0"/>
      <c r="AW4" s="11" t="n">
        <v>45855</v>
      </c>
      <c r="AX4" s="6" t="n">
        <v>-344.5</v>
      </c>
      <c r="AY4" s="0" t="s">
        <v>497</v>
      </c>
      <c r="AZ4" s="11" t="n">
        <v>44810</v>
      </c>
      <c r="BA4" s="6" t="n">
        <v>-1539.97</v>
      </c>
      <c r="BB4" s="0" t="s">
        <v>588</v>
      </c>
      <c r="BC4" s="0"/>
      <c r="BD4" s="10" t="s">
        <f>=XIRR(BD2:BD3,BC2:BC3)</f>
      </c>
      <c r="BE4" s="0"/>
      <c r="BF4" s="11" t="n">
        <v>46078</v>
      </c>
      <c r="BG4" s="8" t="s">
        <f>=-Портфель!J21</f>
      </c>
      <c r="BH4" s="0" t="s">
        <v>589</v>
      </c>
      <c r="BI4" s="11" t="n">
        <v>46078</v>
      </c>
      <c r="BJ4" s="8" t="s">
        <f>=-Портфель!J22</f>
      </c>
      <c r="BK4" s="0" t="s">
        <v>589</v>
      </c>
      <c r="BL4" s="11" t="n">
        <v>45457</v>
      </c>
      <c r="BM4" s="6" t="n">
        <v>-150.5</v>
      </c>
      <c r="BN4" s="0" t="s">
        <v>327</v>
      </c>
      <c r="BO4" s="11" t="n">
        <v>44792</v>
      </c>
      <c r="BP4" s="6" t="n">
        <v>591.36</v>
      </c>
      <c r="BQ4" s="0" t="s">
        <v>587</v>
      </c>
      <c r="BR4" s="11" t="n">
        <v>44746</v>
      </c>
      <c r="BS4" s="6" t="n">
        <v>645.89</v>
      </c>
      <c r="BT4" s="0" t="s">
        <v>587</v>
      </c>
      <c r="BU4" s="11" t="n">
        <v>44761</v>
      </c>
      <c r="BV4" s="6" t="n">
        <v>1428.85</v>
      </c>
      <c r="BW4" s="0" t="s">
        <v>587</v>
      </c>
      <c r="BX4" s="11" t="n">
        <v>46078</v>
      </c>
      <c r="BY4" s="8" t="s">
        <f>=-Портфель!J27</f>
      </c>
      <c r="BZ4" s="0" t="s">
        <v>589</v>
      </c>
      <c r="CA4" s="11" t="n">
        <v>45491</v>
      </c>
      <c r="CB4" s="6" t="n">
        <v>1718.88</v>
      </c>
      <c r="CC4" s="0" t="s">
        <v>587</v>
      </c>
      <c r="CD4" s="11" t="n">
        <v>45882</v>
      </c>
      <c r="CE4" s="6" t="n">
        <v>-47.2</v>
      </c>
      <c r="CF4" s="0" t="s">
        <v>511</v>
      </c>
      <c r="CG4" s="11" t="n">
        <v>44777</v>
      </c>
      <c r="CH4" s="6" t="n">
        <v>312.34</v>
      </c>
      <c r="CI4" s="0" t="s">
        <v>587</v>
      </c>
      <c r="CJ4" s="11" t="n">
        <v>44789</v>
      </c>
      <c r="CK4" s="6" t="n">
        <v>-1157.3</v>
      </c>
      <c r="CL4" s="0" t="s">
        <v>588</v>
      </c>
      <c r="CM4" s="11" t="n">
        <v>46078</v>
      </c>
      <c r="CN4" s="8" t="s">
        <f>=-Портфель!J32</f>
      </c>
      <c r="CO4" s="0" t="s">
        <v>589</v>
      </c>
      <c r="CP4" s="11" t="n">
        <v>45263</v>
      </c>
      <c r="CQ4" s="6" t="n">
        <v>-35</v>
      </c>
      <c r="CR4" s="0" t="s">
        <v>278</v>
      </c>
      <c r="CS4" s="11" t="n">
        <v>45817</v>
      </c>
      <c r="CT4" s="6" t="n">
        <v>-72.5</v>
      </c>
      <c r="CU4" s="0" t="s">
        <v>478</v>
      </c>
      <c r="CV4" s="11" t="n">
        <v>45461</v>
      </c>
      <c r="CW4" s="6" t="n">
        <v>-166.51</v>
      </c>
      <c r="CX4" s="0" t="s">
        <v>329</v>
      </c>
      <c r="CY4" s="11" t="n">
        <v>44938</v>
      </c>
      <c r="CZ4" s="6" t="n">
        <v>1170.79872</v>
      </c>
      <c r="DA4" s="0" t="s">
        <v>590</v>
      </c>
      <c r="DB4" s="11" t="n">
        <v>44854</v>
      </c>
      <c r="DC4" s="6" t="n">
        <v>-21.2</v>
      </c>
      <c r="DD4" s="0" t="s">
        <v>262</v>
      </c>
      <c r="DE4" s="11" t="n">
        <v>45673</v>
      </c>
      <c r="DF4" s="6" t="n">
        <v>-6.93</v>
      </c>
      <c r="DG4" s="0" t="s">
        <v>428</v>
      </c>
      <c r="DH4" s="11" t="n">
        <v>45414</v>
      </c>
      <c r="DI4" s="6" t="n">
        <v>-87</v>
      </c>
      <c r="DJ4" s="0" t="s">
        <v>314</v>
      </c>
      <c r="DK4" s="0"/>
      <c r="DL4" s="10" t="s">
        <f>=XIRR(DL2:DL3,DK2:DK3)</f>
      </c>
      <c r="DM4" s="0"/>
      <c r="DN4" s="11" t="n">
        <v>46078</v>
      </c>
      <c r="DO4" s="8" t="s">
        <f>=-Портфель!J41</f>
      </c>
      <c r="DP4" s="0" t="s">
        <v>589</v>
      </c>
      <c r="DQ4" s="11" t="n">
        <v>45526</v>
      </c>
      <c r="DR4" s="6" t="n">
        <v>662.6</v>
      </c>
      <c r="DS4" s="0" t="s">
        <v>587</v>
      </c>
      <c r="DT4" s="11" t="n">
        <v>45582</v>
      </c>
      <c r="DU4" s="6" t="n">
        <v>-21.94</v>
      </c>
      <c r="DV4" s="0" t="s">
        <v>380</v>
      </c>
      <c r="DW4" s="0"/>
      <c r="DX4" s="10" t="s">
        <f>=XIRR(DX2:DX3,DW2:DW3)</f>
      </c>
      <c r="DY4" s="0"/>
      <c r="DZ4" s="11" t="n">
        <v>45462</v>
      </c>
      <c r="EA4" s="6" t="n">
        <v>141.44</v>
      </c>
      <c r="EB4" s="0" t="s">
        <v>587</v>
      </c>
      <c r="EC4" s="11" t="n">
        <v>44715</v>
      </c>
      <c r="ED4" s="6" t="n">
        <v>89.02</v>
      </c>
      <c r="EE4" s="0" t="s">
        <v>587</v>
      </c>
      <c r="EF4" s="11" t="n">
        <v>45573</v>
      </c>
      <c r="EG4" s="6" t="n">
        <v>-15381.3</v>
      </c>
      <c r="EH4" s="0" t="s">
        <v>588</v>
      </c>
      <c r="EI4" s="11" t="n">
        <v>44659</v>
      </c>
      <c r="EJ4" s="6" t="n">
        <v>-790.3</v>
      </c>
      <c r="EK4" s="0" t="s">
        <v>588</v>
      </c>
      <c r="EL4" s="11" t="n">
        <v>44673</v>
      </c>
      <c r="EM4" s="6" t="n">
        <v>106.94</v>
      </c>
      <c r="EN4" s="0" t="s">
        <v>587</v>
      </c>
      <c r="EO4" s="11" t="n">
        <v>45447</v>
      </c>
      <c r="EP4" s="6" t="s">
        <f>=5499.57</f>
      </c>
      <c r="EQ4" s="0" t="s">
        <v>587</v>
      </c>
      <c r="ER4" s="11" t="n">
        <v>45464</v>
      </c>
      <c r="ES4" s="6" t="s">
        <f>=11651.91</f>
      </c>
      <c r="ET4" s="0" t="s">
        <v>587</v>
      </c>
      <c r="EU4" s="11" t="n">
        <v>45568</v>
      </c>
      <c r="EV4" s="6" t="s">
        <f>=2055.76</f>
      </c>
      <c r="EW4" s="0" t="s">
        <v>587</v>
      </c>
      <c r="EX4" s="11" t="n">
        <v>45391</v>
      </c>
      <c r="EY4" s="6" t="s">
        <f>=8963.55</f>
      </c>
      <c r="EZ4" s="0" t="s">
        <v>587</v>
      </c>
      <c r="FA4" s="11" t="n">
        <v>45320</v>
      </c>
      <c r="FB4" s="6" t="s">
        <f>=-29.54</f>
      </c>
      <c r="FC4" s="0" t="s">
        <v>281</v>
      </c>
      <c r="FD4" s="11" t="n">
        <v>45429</v>
      </c>
      <c r="FE4" s="6" t="s">
        <f>=10662.89</f>
      </c>
      <c r="FF4" s="0" t="s">
        <v>587</v>
      </c>
      <c r="FG4" s="11" t="n">
        <v>45573</v>
      </c>
      <c r="FH4" s="6" t="s">
        <f>=10959.03</f>
      </c>
      <c r="FI4" s="0" t="s">
        <v>587</v>
      </c>
      <c r="FJ4" s="11" t="n">
        <v>45341</v>
      </c>
      <c r="FK4" s="6" t="s">
        <f>=4177.51</f>
      </c>
      <c r="FL4" s="0" t="s">
        <v>587</v>
      </c>
      <c r="FM4" s="11" t="n">
        <v>45623</v>
      </c>
      <c r="FN4" s="6" t="s">
        <f>=-1401.58</f>
      </c>
      <c r="FO4" s="0" t="s">
        <v>396</v>
      </c>
      <c r="FP4" s="11" t="n">
        <v>45496</v>
      </c>
      <c r="FQ4" s="6" t="s">
        <f>=8108.84</f>
      </c>
      <c r="FR4" s="0" t="s">
        <v>587</v>
      </c>
      <c r="FS4" s="11" t="n">
        <v>45812</v>
      </c>
      <c r="FT4" s="6" t="s">
        <f>=-1062.6</f>
      </c>
      <c r="FU4" s="0" t="s">
        <v>473</v>
      </c>
      <c r="FV4" s="11" t="n">
        <v>45805</v>
      </c>
      <c r="FW4" s="6" t="s">
        <f>=-1062.6</f>
      </c>
      <c r="FX4" s="0" t="s">
        <v>466</v>
      </c>
      <c r="FY4" s="11" t="n">
        <v>45496</v>
      </c>
      <c r="FZ4" s="6" t="s">
        <f>=7068.48</f>
      </c>
      <c r="GA4" s="0" t="s">
        <v>587</v>
      </c>
      <c r="GB4" s="11" t="n">
        <v>45371</v>
      </c>
      <c r="GC4" s="6" t="s">
        <f>=-504.6</f>
      </c>
      <c r="GD4" s="0" t="s">
        <v>303</v>
      </c>
      <c r="GE4" s="11" t="n">
        <v>45327</v>
      </c>
      <c r="GF4" s="6" t="s">
        <f>=-10.26</f>
      </c>
      <c r="GG4" s="0" t="s">
        <v>282</v>
      </c>
      <c r="GH4" s="11" t="n">
        <v>45498</v>
      </c>
      <c r="GI4" s="6" t="s">
        <f>=-102.81</f>
      </c>
      <c r="GJ4" s="0" t="s">
        <v>312</v>
      </c>
      <c r="GK4" s="0"/>
      <c r="GL4" s="10" t="s">
        <f>=XIRR(GL2:GL3,GK2:GK3)</f>
      </c>
      <c r="GM4" s="0"/>
      <c r="GN4" s="11" t="n">
        <v>45798</v>
      </c>
      <c r="GO4" s="6" t="s">
        <f>=-247.2</f>
      </c>
      <c r="GP4" s="0" t="s">
        <v>394</v>
      </c>
      <c r="GQ4" s="11" t="n">
        <v>46075</v>
      </c>
      <c r="GR4" s="6" t="s">
        <f>=-85.65</f>
      </c>
      <c r="GS4" s="0" t="s">
        <v>573</v>
      </c>
      <c r="GT4" s="11" t="n">
        <v>45343</v>
      </c>
      <c r="GU4" s="6" t="s">
        <f>=-118.64</f>
      </c>
      <c r="GV4" s="0" t="s">
        <v>293</v>
      </c>
      <c r="GW4" s="11" t="n">
        <v>45779</v>
      </c>
      <c r="GX4" s="6" t="s">
        <f>=-173.45</f>
      </c>
      <c r="GY4" s="0" t="s">
        <v>429</v>
      </c>
      <c r="GZ4" s="11" t="n">
        <v>45439</v>
      </c>
      <c r="HA4" s="6" t="s">
        <f>=-79.6</f>
      </c>
      <c r="HB4" s="0" t="s">
        <v>294</v>
      </c>
      <c r="HC4" s="11" t="n">
        <v>46053</v>
      </c>
      <c r="HD4" s="6" t="s">
        <f>=-76.35</f>
      </c>
      <c r="HE4" s="0" t="s">
        <v>566</v>
      </c>
      <c r="HF4" s="11" t="n">
        <v>45811</v>
      </c>
      <c r="HG4" s="6" t="s">
        <f>=-244.5</f>
      </c>
      <c r="HH4" s="0" t="s">
        <v>402</v>
      </c>
      <c r="HI4" s="11" t="n">
        <v>45357</v>
      </c>
      <c r="HJ4" s="6" t="s">
        <f>=-200.6</f>
      </c>
      <c r="HK4" s="0" t="s">
        <v>297</v>
      </c>
      <c r="HL4" s="11" t="n">
        <v>45386</v>
      </c>
      <c r="HM4" s="6" t="s">
        <f>=-102.68</f>
      </c>
      <c r="HN4" s="0" t="s">
        <v>310</v>
      </c>
      <c r="HO4" s="11" t="n">
        <v>45366</v>
      </c>
      <c r="HP4" s="6" t="s">
        <f>=-56.75</f>
      </c>
      <c r="HQ4" s="0" t="s">
        <v>289</v>
      </c>
      <c r="HR4" s="11" t="n">
        <v>45443</v>
      </c>
      <c r="HS4" s="6" t="s">
        <f>=-64.43</f>
      </c>
      <c r="HT4" s="0" t="s">
        <v>295</v>
      </c>
      <c r="HU4" s="11" t="n">
        <v>45428</v>
      </c>
      <c r="HV4" s="6" t="s">
        <f>=-173.45</f>
      </c>
      <c r="HW4" s="0" t="s">
        <v>290</v>
      </c>
      <c r="HX4" s="11" t="n">
        <v>45520</v>
      </c>
      <c r="HY4" s="6" t="s">
        <f>=-115.64</f>
      </c>
      <c r="HZ4" s="0" t="s">
        <v>291</v>
      </c>
      <c r="IA4" s="11" t="n">
        <v>45615</v>
      </c>
      <c r="IB4" s="6" t="s">
        <f>=-128.28</f>
      </c>
      <c r="IC4" s="0" t="s">
        <v>393</v>
      </c>
      <c r="ID4" s="11" t="n">
        <v>45383</v>
      </c>
      <c r="IE4" s="6" t="s">
        <f>=-41.53</f>
      </c>
      <c r="IF4" s="0" t="s">
        <v>308</v>
      </c>
      <c r="IG4" s="11" t="n">
        <v>45271</v>
      </c>
      <c r="IH4" s="6" t="s">
        <f>=-26.92</f>
      </c>
      <c r="II4" s="0" t="s">
        <v>269</v>
      </c>
      <c r="IJ4" s="11" t="n">
        <v>45364</v>
      </c>
      <c r="IK4" s="6" t="s">
        <f>=-24.25</f>
      </c>
      <c r="IL4" s="0" t="s">
        <v>300</v>
      </c>
      <c r="IM4" s="11" t="n">
        <v>45506</v>
      </c>
      <c r="IN4" s="6" t="s">
        <f>=-53.4</f>
      </c>
      <c r="IO4" s="0" t="s">
        <v>347</v>
      </c>
      <c r="IP4" s="11" t="n">
        <v>45362</v>
      </c>
      <c r="IQ4" s="6" t="s">
        <f>=-18.36</f>
      </c>
      <c r="IR4" s="0" t="s">
        <v>288</v>
      </c>
    </row>
    <row collapsed="false" customFormat="false" customHeight="false" hidden="false" ht="12.1" outlineLevel="0" r="5">
      <c r="A5" s="11" t="n">
        <v>44938</v>
      </c>
      <c r="B5" s="6" t="n">
        <v>-35.78</v>
      </c>
      <c r="C5" s="0" t="s">
        <v>265</v>
      </c>
      <c r="D5" s="0"/>
      <c r="E5" s="10" t="s">
        <f>=XIRR(E2:E4,D2:D4)</f>
      </c>
      <c r="F5" s="0"/>
      <c r="G5" s="11" t="n">
        <v>45491</v>
      </c>
      <c r="H5" s="6" t="n">
        <v>-1069</v>
      </c>
      <c r="I5" s="0" t="s">
        <v>338</v>
      </c>
      <c r="J5" s="11" t="n">
        <v>45623</v>
      </c>
      <c r="K5" s="6" t="n">
        <v>6735.28</v>
      </c>
      <c r="L5" s="0" t="s">
        <v>587</v>
      </c>
      <c r="M5" s="11" t="n">
        <v>46078</v>
      </c>
      <c r="N5" s="8" t="s">
        <f>=-Портфель!J6</f>
      </c>
      <c r="O5" s="0" t="s">
        <v>589</v>
      </c>
      <c r="P5" s="11" t="n">
        <v>46078</v>
      </c>
      <c r="Q5" s="8" t="s">
        <f>=-Портфель!J7</f>
      </c>
      <c r="R5" s="0" t="s">
        <v>589</v>
      </c>
      <c r="S5" s="0"/>
      <c r="T5" s="8" t="s">
        <f>=-SUM(T2:T3)</f>
      </c>
      <c r="U5" s="0" t="s">
        <v>591</v>
      </c>
      <c r="V5" s="11" t="n">
        <v>46078</v>
      </c>
      <c r="W5" s="8" t="s">
        <f>=-Портфель!J9</f>
      </c>
      <c r="X5" s="0" t="s">
        <v>589</v>
      </c>
      <c r="Y5" s="11" t="n">
        <v>46078</v>
      </c>
      <c r="Z5" s="8" t="s">
        <f>=-Портфель!J10</f>
      </c>
      <c r="AA5" s="0" t="s">
        <v>589</v>
      </c>
      <c r="AB5" s="0"/>
      <c r="AC5" s="10" t="s">
        <f>=XIRR(AC2:AC4,AB2:AB4)</f>
      </c>
      <c r="AD5" s="0"/>
      <c r="AE5" s="11" t="n">
        <v>45537</v>
      </c>
      <c r="AF5" s="6" t="n">
        <v>3204.31</v>
      </c>
      <c r="AG5" s="0" t="s">
        <v>587</v>
      </c>
      <c r="AH5" s="11" t="n">
        <v>45775</v>
      </c>
      <c r="AI5" s="6" t="n">
        <v>-203.25</v>
      </c>
      <c r="AJ5" s="0" t="s">
        <v>455</v>
      </c>
      <c r="AK5" s="11" t="n">
        <v>44916</v>
      </c>
      <c r="AL5" s="6" t="n">
        <v>-223</v>
      </c>
      <c r="AM5" s="0" t="s">
        <v>263</v>
      </c>
      <c r="AN5" s="0"/>
      <c r="AO5" s="10" t="s">
        <f>=XIRR(AO2:AO4,AN2:AN4)</f>
      </c>
      <c r="AP5" s="0"/>
      <c r="AQ5" s="11" t="n">
        <v>45855</v>
      </c>
      <c r="AR5" s="6" t="n">
        <v>-157</v>
      </c>
      <c r="AS5" s="0" t="s">
        <v>498</v>
      </c>
      <c r="AT5" s="0"/>
      <c r="AU5" s="8" t="s">
        <f>=-SUM(AU2:AU3)</f>
      </c>
      <c r="AV5" s="0" t="s">
        <v>591</v>
      </c>
      <c r="AW5" s="11" t="n">
        <v>46078</v>
      </c>
      <c r="AX5" s="8" t="s">
        <f>=-Портфель!J18</f>
      </c>
      <c r="AY5" s="0" t="s">
        <v>589</v>
      </c>
      <c r="AZ5" s="11" t="n">
        <v>44810</v>
      </c>
      <c r="BA5" s="6" t="n">
        <v>1450.87</v>
      </c>
      <c r="BB5" s="0" t="s">
        <v>587</v>
      </c>
      <c r="BC5" s="0"/>
      <c r="BD5" s="8" t="s">
        <f>=-SUM(BD2:BD3)</f>
      </c>
      <c r="BE5" s="0" t="s">
        <v>591</v>
      </c>
      <c r="BF5" s="0"/>
      <c r="BG5" s="10" t="s">
        <f>=XIRR(BG2:BG4,BF2:BF4)</f>
      </c>
      <c r="BH5" s="0"/>
      <c r="BI5" s="0"/>
      <c r="BJ5" s="10" t="s">
        <f>=XIRR(BJ2:BJ4,BI2:BI4)</f>
      </c>
      <c r="BK5" s="0"/>
      <c r="BL5" s="11" t="n">
        <v>45848</v>
      </c>
      <c r="BM5" s="6" t="n">
        <v>-227.1</v>
      </c>
      <c r="BN5" s="0" t="s">
        <v>491</v>
      </c>
      <c r="BO5" s="11" t="n">
        <v>44803</v>
      </c>
      <c r="BP5" s="6" t="n">
        <v>-615.12</v>
      </c>
      <c r="BQ5" s="0" t="s">
        <v>588</v>
      </c>
      <c r="BR5" s="11" t="n">
        <v>44763</v>
      </c>
      <c r="BS5" s="6" t="n">
        <v>599.16</v>
      </c>
      <c r="BT5" s="0" t="s">
        <v>587</v>
      </c>
      <c r="BU5" s="11" t="n">
        <v>46078</v>
      </c>
      <c r="BV5" s="8" t="s">
        <f>=-Портфель!J26</f>
      </c>
      <c r="BW5" s="0" t="s">
        <v>589</v>
      </c>
      <c r="BX5" s="0"/>
      <c r="BY5" s="10" t="s">
        <f>=XIRR(BY2:BY4,BX2:BX4)</f>
      </c>
      <c r="BZ5" s="0"/>
      <c r="CA5" s="11" t="n">
        <v>45641</v>
      </c>
      <c r="CB5" s="6" t="n">
        <v>-87</v>
      </c>
      <c r="CC5" s="0" t="s">
        <v>415</v>
      </c>
      <c r="CD5" s="11" t="n">
        <v>46078</v>
      </c>
      <c r="CE5" s="8" t="s">
        <f>=-Портфель!J29</f>
      </c>
      <c r="CF5" s="0" t="s">
        <v>589</v>
      </c>
      <c r="CG5" s="11" t="n">
        <v>45076</v>
      </c>
      <c r="CH5" s="6" t="n">
        <v>-49.73</v>
      </c>
      <c r="CI5" s="0" t="s">
        <v>267</v>
      </c>
      <c r="CJ5" s="11" t="n">
        <v>45530</v>
      </c>
      <c r="CK5" s="6" t="n">
        <v>2699.76</v>
      </c>
      <c r="CL5" s="0" t="s">
        <v>587</v>
      </c>
      <c r="CM5" s="0"/>
      <c r="CN5" s="10" t="s">
        <f>=XIRR(CN2:CN4,CM2:CM4)</f>
      </c>
      <c r="CO5" s="0"/>
      <c r="CP5" s="11" t="n">
        <v>45458</v>
      </c>
      <c r="CQ5" s="6" t="n">
        <v>-35</v>
      </c>
      <c r="CR5" s="0" t="s">
        <v>278</v>
      </c>
      <c r="CS5" s="11" t="n">
        <v>46016</v>
      </c>
      <c r="CT5" s="6" t="n">
        <v>-785</v>
      </c>
      <c r="CU5" s="0" t="s">
        <v>562</v>
      </c>
      <c r="CV5" s="11" t="n">
        <v>45545</v>
      </c>
      <c r="CW5" s="6" t="n">
        <v>-27.06</v>
      </c>
      <c r="CX5" s="0" t="s">
        <v>360</v>
      </c>
      <c r="CY5" s="11" t="n">
        <v>46078</v>
      </c>
      <c r="CZ5" s="8" t="s">
        <f>=-Портфель!J36</f>
      </c>
      <c r="DA5" s="0" t="s">
        <v>589</v>
      </c>
      <c r="DB5" s="11" t="n">
        <v>46078</v>
      </c>
      <c r="DC5" s="8" t="s">
        <f>=-Портфель!J37</f>
      </c>
      <c r="DD5" s="0" t="s">
        <v>589</v>
      </c>
      <c r="DE5" s="11" t="n">
        <v>45848</v>
      </c>
      <c r="DF5" s="6" t="n">
        <v>-8.44</v>
      </c>
      <c r="DG5" s="0" t="s">
        <v>492</v>
      </c>
      <c r="DH5" s="11" t="n">
        <v>45776</v>
      </c>
      <c r="DI5" s="6" t="n">
        <v>-68</v>
      </c>
      <c r="DJ5" s="0" t="s">
        <v>271</v>
      </c>
      <c r="DK5" s="0"/>
      <c r="DL5" s="8" t="s">
        <f>=-SUM(DL2:DL3)</f>
      </c>
      <c r="DM5" s="0" t="s">
        <v>591</v>
      </c>
      <c r="DN5" s="0"/>
      <c r="DO5" s="10" t="s">
        <f>=XIRR(DO2:DO4,DN2:DN4)</f>
      </c>
      <c r="DP5" s="0"/>
      <c r="DQ5" s="11" t="n">
        <v>45632</v>
      </c>
      <c r="DR5" s="6" t="n">
        <v>-5.33</v>
      </c>
      <c r="DS5" s="0" t="s">
        <v>406</v>
      </c>
      <c r="DT5" s="11" t="n">
        <v>46078</v>
      </c>
      <c r="DU5" s="8" t="s">
        <f>=-Портфель!J43</f>
      </c>
      <c r="DV5" s="0" t="s">
        <v>589</v>
      </c>
      <c r="DW5" s="0"/>
      <c r="DX5" s="8" t="s">
        <f>=-SUM(DX2:DX3)</f>
      </c>
      <c r="DY5" s="0" t="s">
        <v>591</v>
      </c>
      <c r="DZ5" s="11" t="n">
        <v>45505</v>
      </c>
      <c r="EA5" s="6" t="n">
        <v>429.67</v>
      </c>
      <c r="EB5" s="0" t="s">
        <v>587</v>
      </c>
      <c r="EC5" s="11" t="n">
        <v>44742</v>
      </c>
      <c r="ED5" s="6" t="n">
        <v>87.82</v>
      </c>
      <c r="EE5" s="0" t="s">
        <v>587</v>
      </c>
      <c r="EF5" s="11" t="n">
        <v>45635</v>
      </c>
      <c r="EG5" s="6" t="n">
        <v>2871</v>
      </c>
      <c r="EH5" s="0" t="s">
        <v>587</v>
      </c>
      <c r="EI5" s="11" t="n">
        <v>44662</v>
      </c>
      <c r="EJ5" s="6" t="n">
        <v>429.4</v>
      </c>
      <c r="EK5" s="0" t="s">
        <v>587</v>
      </c>
      <c r="EL5" s="11" t="n">
        <v>44676</v>
      </c>
      <c r="EM5" s="6" t="n">
        <v>234.04</v>
      </c>
      <c r="EN5" s="0" t="s">
        <v>587</v>
      </c>
      <c r="EO5" s="11" t="n">
        <v>45448</v>
      </c>
      <c r="EP5" s="6" t="s">
        <f>=-831.8</f>
      </c>
      <c r="EQ5" s="0" t="s">
        <v>321</v>
      </c>
      <c r="ER5" s="11" t="n">
        <v>45488</v>
      </c>
      <c r="ES5" s="6" t="s">
        <f>=17315.67</f>
      </c>
      <c r="ET5" s="0" t="s">
        <v>587</v>
      </c>
      <c r="EU5" s="11" t="n">
        <v>45630</v>
      </c>
      <c r="EV5" s="6" t="s">
        <f>=-2253.11</f>
      </c>
      <c r="EW5" s="0" t="s">
        <v>404</v>
      </c>
      <c r="EX5" s="11" t="n">
        <v>45551</v>
      </c>
      <c r="EY5" s="6" t="s">
        <f>=16901.46</f>
      </c>
      <c r="EZ5" s="0" t="s">
        <v>587</v>
      </c>
      <c r="FA5" s="11" t="n">
        <v>45350</v>
      </c>
      <c r="FB5" s="6" t="s">
        <f>=-29.54</f>
      </c>
      <c r="FC5" s="0" t="s">
        <v>281</v>
      </c>
      <c r="FD5" s="11" t="n">
        <v>45551</v>
      </c>
      <c r="FE5" s="6" t="s">
        <f>=13349.4</f>
      </c>
      <c r="FF5" s="0" t="s">
        <v>587</v>
      </c>
      <c r="FG5" s="11" t="n">
        <v>45742</v>
      </c>
      <c r="FH5" s="6" t="s">
        <f>=-1770.56</f>
      </c>
      <c r="FI5" s="0" t="s">
        <v>447</v>
      </c>
      <c r="FJ5" s="11" t="n">
        <v>45371</v>
      </c>
      <c r="FK5" s="6" t="s">
        <f>=-436.15</f>
      </c>
      <c r="FL5" s="0" t="s">
        <v>302</v>
      </c>
      <c r="FM5" s="11" t="n">
        <v>45805</v>
      </c>
      <c r="FN5" s="6" t="s">
        <f>=-1401.58</f>
      </c>
      <c r="FO5" s="0" t="s">
        <v>396</v>
      </c>
      <c r="FP5" s="11" t="n">
        <v>45525</v>
      </c>
      <c r="FQ5" s="6" t="s">
        <f>=-532.04</f>
      </c>
      <c r="FR5" s="0" t="s">
        <v>352</v>
      </c>
      <c r="FS5" s="11" t="n">
        <v>45994</v>
      </c>
      <c r="FT5" s="6" t="s">
        <f>=-1062.6</f>
      </c>
      <c r="FU5" s="0" t="s">
        <v>473</v>
      </c>
      <c r="FV5" s="11" t="n">
        <v>45987</v>
      </c>
      <c r="FW5" s="6" t="s">
        <f>=-1062.6</f>
      </c>
      <c r="FX5" s="0" t="s">
        <v>466</v>
      </c>
      <c r="FY5" s="11" t="n">
        <v>45509</v>
      </c>
      <c r="FZ5" s="6" t="s">
        <f>=2098.08</f>
      </c>
      <c r="GA5" s="0" t="s">
        <v>587</v>
      </c>
      <c r="GB5" s="11" t="n">
        <v>45553</v>
      </c>
      <c r="GC5" s="6" t="s">
        <f>=-504.6</f>
      </c>
      <c r="GD5" s="0" t="s">
        <v>303</v>
      </c>
      <c r="GE5" s="11" t="n">
        <v>45357</v>
      </c>
      <c r="GF5" s="6" t="s">
        <f>=-10.26</f>
      </c>
      <c r="GG5" s="0" t="s">
        <v>282</v>
      </c>
      <c r="GH5" s="11" t="n">
        <v>45509</v>
      </c>
      <c r="GI5" s="6" t="s">
        <f>=3398.29</f>
      </c>
      <c r="GJ5" s="0" t="s">
        <v>587</v>
      </c>
      <c r="GK5" s="0"/>
      <c r="GL5" s="8" t="s">
        <f>=-SUM(GL2:GL3)</f>
      </c>
      <c r="GM5" s="0" t="s">
        <v>591</v>
      </c>
      <c r="GN5" s="11" t="n">
        <v>45980</v>
      </c>
      <c r="GO5" s="6" t="s">
        <f>=-247.2</f>
      </c>
      <c r="GP5" s="0" t="s">
        <v>394</v>
      </c>
      <c r="GQ5" s="11" t="n">
        <v>46380</v>
      </c>
      <c r="GR5" s="8" t="s">
        <f>=-Портфель!J70</f>
      </c>
      <c r="GS5" s="0" t="s">
        <v>589</v>
      </c>
      <c r="GT5" s="11" t="n">
        <v>45434</v>
      </c>
      <c r="GU5" s="6" t="s">
        <f>=-118.64</f>
      </c>
      <c r="GV5" s="0" t="s">
        <v>293</v>
      </c>
      <c r="GW5" s="11" t="n">
        <v>45870</v>
      </c>
      <c r="GX5" s="6" t="s">
        <f>=-282.1</f>
      </c>
      <c r="GY5" s="0" t="s">
        <v>505</v>
      </c>
      <c r="GZ5" s="11" t="n">
        <v>45530</v>
      </c>
      <c r="HA5" s="6" t="s">
        <f>=-79.6</f>
      </c>
      <c r="HB5" s="0" t="s">
        <v>294</v>
      </c>
      <c r="HC5" s="11" t="n">
        <v>46380</v>
      </c>
      <c r="HD5" s="8" t="s">
        <f>=-Портфель!J74</f>
      </c>
      <c r="HE5" s="0" t="s">
        <v>589</v>
      </c>
      <c r="HF5" s="11" t="n">
        <v>45993</v>
      </c>
      <c r="HG5" s="6" t="s">
        <f>=-244.5</f>
      </c>
      <c r="HH5" s="0" t="s">
        <v>402</v>
      </c>
      <c r="HI5" s="11" t="n">
        <v>45539</v>
      </c>
      <c r="HJ5" s="6" t="s">
        <f>=-200.6</f>
      </c>
      <c r="HK5" s="0" t="s">
        <v>297</v>
      </c>
      <c r="HL5" s="11" t="n">
        <v>45477</v>
      </c>
      <c r="HM5" s="6" t="s">
        <f>=-102.68</f>
      </c>
      <c r="HN5" s="0" t="s">
        <v>310</v>
      </c>
      <c r="HO5" s="11" t="n">
        <v>45366</v>
      </c>
      <c r="HP5" s="6" t="s">
        <f>=5068.56</f>
      </c>
      <c r="HQ5" s="0" t="s">
        <v>587</v>
      </c>
      <c r="HR5" s="11" t="n">
        <v>45534</v>
      </c>
      <c r="HS5" s="6" t="s">
        <f>=-64.43</f>
      </c>
      <c r="HT5" s="0" t="s">
        <v>295</v>
      </c>
      <c r="HU5" s="11" t="n">
        <v>45519</v>
      </c>
      <c r="HV5" s="6" t="s">
        <f>=-173.45</f>
      </c>
      <c r="HW5" s="0" t="s">
        <v>290</v>
      </c>
      <c r="HX5" s="11" t="n">
        <v>45702</v>
      </c>
      <c r="HY5" s="6" t="s">
        <f>=-115.64</f>
      </c>
      <c r="HZ5" s="0" t="s">
        <v>291</v>
      </c>
      <c r="IA5" s="11" t="n">
        <v>45797</v>
      </c>
      <c r="IB5" s="6" t="s">
        <f>=-154.02</f>
      </c>
      <c r="IC5" s="0" t="s">
        <v>464</v>
      </c>
      <c r="ID5" s="11" t="n">
        <v>45413</v>
      </c>
      <c r="IE5" s="6" t="s">
        <f>=-40.06</f>
      </c>
      <c r="IF5" s="0" t="s">
        <v>313</v>
      </c>
      <c r="IG5" s="11" t="n">
        <v>45453</v>
      </c>
      <c r="IH5" s="6" t="s">
        <f>=-26.92</f>
      </c>
      <c r="II5" s="0" t="s">
        <v>269</v>
      </c>
      <c r="IJ5" s="11" t="n">
        <v>45454</v>
      </c>
      <c r="IK5" s="6" t="s">
        <f>=-15.39</f>
      </c>
      <c r="IL5" s="0" t="s">
        <v>323</v>
      </c>
      <c r="IM5" s="11" t="n">
        <v>45536</v>
      </c>
      <c r="IN5" s="6" t="s">
        <f>=-450.7</f>
      </c>
      <c r="IO5" s="0" t="s">
        <v>355</v>
      </c>
      <c r="IP5" s="11" t="n">
        <v>45392</v>
      </c>
      <c r="IQ5" s="6" t="s">
        <f>=-18.36</f>
      </c>
      <c r="IR5" s="0" t="s">
        <v>288</v>
      </c>
    </row>
    <row collapsed="false" customFormat="false" customHeight="false" hidden="false" ht="12.1" outlineLevel="0" r="6">
      <c r="A6" s="11" t="n">
        <v>45118</v>
      </c>
      <c r="B6" s="6" t="n">
        <v>-30.94</v>
      </c>
      <c r="C6" s="0" t="s">
        <v>273</v>
      </c>
      <c r="D6" s="0"/>
      <c r="E6" s="8" t="s">
        <f>=-SUM(E2:E4)</f>
      </c>
      <c r="F6" s="0" t="s">
        <v>591</v>
      </c>
      <c r="G6" s="11" t="n">
        <v>45855</v>
      </c>
      <c r="H6" s="6" t="n">
        <v>-739</v>
      </c>
      <c r="I6" s="0" t="s">
        <v>499</v>
      </c>
      <c r="J6" s="11" t="n">
        <v>45856</v>
      </c>
      <c r="K6" s="6" t="n">
        <v>-1516</v>
      </c>
      <c r="L6" s="0" t="s">
        <v>500</v>
      </c>
      <c r="M6" s="0"/>
      <c r="N6" s="10" t="s">
        <f>=XIRR(N2:N5,M2:M5)</f>
      </c>
      <c r="O6" s="0"/>
      <c r="P6" s="0"/>
      <c r="Q6" s="10" t="s">
        <f>=XIRR(Q2:Q5,P2:P5)</f>
      </c>
      <c r="R6" s="0"/>
      <c r="S6" s="0"/>
      <c r="T6" s="0"/>
      <c r="U6" s="0"/>
      <c r="V6" s="0"/>
      <c r="W6" s="10" t="s">
        <f>=XIRR(W2:W5,V2:V5)</f>
      </c>
      <c r="X6" s="0"/>
      <c r="Y6" s="0"/>
      <c r="Z6" s="10" t="s">
        <f>=XIRR(Z2:Z5,Y2:Y5)</f>
      </c>
      <c r="AA6" s="0"/>
      <c r="AB6" s="0"/>
      <c r="AC6" s="8" t="s">
        <f>=-SUM(AC2:AC4)</f>
      </c>
      <c r="AD6" s="0" t="s">
        <v>591</v>
      </c>
      <c r="AE6" s="11" t="n">
        <v>45544</v>
      </c>
      <c r="AF6" s="6" t="n">
        <v>3344.18</v>
      </c>
      <c r="AG6" s="0" t="s">
        <v>587</v>
      </c>
      <c r="AH6" s="11" t="n">
        <v>45936</v>
      </c>
      <c r="AI6" s="6" t="n">
        <v>-154.5</v>
      </c>
      <c r="AJ6" s="0" t="s">
        <v>377</v>
      </c>
      <c r="AK6" s="11" t="n">
        <v>44916</v>
      </c>
      <c r="AL6" s="6" t="n">
        <v>-467</v>
      </c>
      <c r="AM6" s="0" t="s">
        <v>264</v>
      </c>
      <c r="AN6" s="0"/>
      <c r="AO6" s="8" t="s">
        <f>=-SUM(AO2:AO4)</f>
      </c>
      <c r="AP6" s="0" t="s">
        <v>591</v>
      </c>
      <c r="AQ6" s="11" t="n">
        <v>46078</v>
      </c>
      <c r="AR6" s="8" t="s">
        <f>=-Портфель!J16</f>
      </c>
      <c r="AS6" s="0" t="s">
        <v>589</v>
      </c>
      <c r="AT6" s="0"/>
      <c r="AU6" s="0"/>
      <c r="AV6" s="0"/>
      <c r="AW6" s="0"/>
      <c r="AX6" s="10" t="s">
        <f>=XIRR(AX2:AX5,AW2:AW5)</f>
      </c>
      <c r="AY6" s="0"/>
      <c r="AZ6" s="11" t="n">
        <v>45126</v>
      </c>
      <c r="BA6" s="6" t="n">
        <v>-71</v>
      </c>
      <c r="BB6" s="0" t="s">
        <v>274</v>
      </c>
      <c r="BC6" s="0"/>
      <c r="BD6" s="0"/>
      <c r="BE6" s="0"/>
      <c r="BF6" s="0"/>
      <c r="BG6" s="8" t="s">
        <f>=-SUM(BG2:BG4)</f>
      </c>
      <c r="BH6" s="0" t="s">
        <v>591</v>
      </c>
      <c r="BI6" s="0"/>
      <c r="BJ6" s="8" t="s">
        <f>=-SUM(BJ2:BJ4)</f>
      </c>
      <c r="BK6" s="0" t="s">
        <v>591</v>
      </c>
      <c r="BL6" s="11" t="n">
        <v>46078</v>
      </c>
      <c r="BM6" s="8" t="s">
        <f>=-Портфель!J23</f>
      </c>
      <c r="BN6" s="0" t="s">
        <v>589</v>
      </c>
      <c r="BO6" s="11" t="n">
        <v>45036</v>
      </c>
      <c r="BP6" s="6" t="n">
        <v>1210.61</v>
      </c>
      <c r="BQ6" s="0" t="s">
        <v>587</v>
      </c>
      <c r="BR6" s="11" t="n">
        <v>45217</v>
      </c>
      <c r="BS6" s="6" t="n">
        <v>-130.8</v>
      </c>
      <c r="BT6" s="0" t="s">
        <v>277</v>
      </c>
      <c r="BU6" s="0"/>
      <c r="BV6" s="10" t="s">
        <f>=XIRR(BV2:BV5,BU2:BU5)</f>
      </c>
      <c r="BW6" s="0"/>
      <c r="BX6" s="0"/>
      <c r="BY6" s="8" t="s">
        <f>=-SUM(BY2:BY4)</f>
      </c>
      <c r="BZ6" s="0" t="s">
        <v>591</v>
      </c>
      <c r="CA6" s="11" t="n">
        <v>45815</v>
      </c>
      <c r="CB6" s="6" t="n">
        <v>-50</v>
      </c>
      <c r="CC6" s="0" t="s">
        <v>474</v>
      </c>
      <c r="CD6" s="0"/>
      <c r="CE6" s="10" t="s">
        <f>=XIRR(CE2:CE5,CD2:CD5)</f>
      </c>
      <c r="CF6" s="0"/>
      <c r="CG6" s="11" t="n">
        <v>45120</v>
      </c>
      <c r="CH6" s="6" t="n">
        <v>415.58</v>
      </c>
      <c r="CI6" s="0" t="s">
        <v>587</v>
      </c>
      <c r="CJ6" s="11" t="n">
        <v>46078</v>
      </c>
      <c r="CK6" s="8" t="s">
        <f>=-Портфель!J31</f>
      </c>
      <c r="CL6" s="0" t="s">
        <v>589</v>
      </c>
      <c r="CM6" s="0"/>
      <c r="CN6" s="8" t="s">
        <f>=-SUM(CN2:CN4)</f>
      </c>
      <c r="CO6" s="0" t="s">
        <v>591</v>
      </c>
      <c r="CP6" s="11" t="n">
        <v>45576</v>
      </c>
      <c r="CQ6" s="6" t="n">
        <v>-70</v>
      </c>
      <c r="CR6" s="0" t="s">
        <v>378</v>
      </c>
      <c r="CS6" s="11" t="n">
        <v>46078</v>
      </c>
      <c r="CT6" s="8" t="s">
        <f>=-Портфель!J34</f>
      </c>
      <c r="CU6" s="0" t="s">
        <v>589</v>
      </c>
      <c r="CV6" s="11" t="n">
        <v>45643</v>
      </c>
      <c r="CW6" s="6" t="n">
        <v>-43.06</v>
      </c>
      <c r="CX6" s="0" t="s">
        <v>417</v>
      </c>
      <c r="CY6" s="0"/>
      <c r="CZ6" s="10" t="s">
        <f>=XIRR(CZ2:CZ5,CY2:CY5)</f>
      </c>
      <c r="DA6" s="0"/>
      <c r="DB6" s="0"/>
      <c r="DC6" s="10" t="s">
        <f>=XIRR(DC2:DC5,DB2:DB5)</f>
      </c>
      <c r="DD6" s="0"/>
      <c r="DE6" s="11" t="n">
        <v>46078</v>
      </c>
      <c r="DF6" s="8" t="s">
        <f>=-Портфель!J38</f>
      </c>
      <c r="DG6" s="0" t="s">
        <v>589</v>
      </c>
      <c r="DH6" s="11" t="n">
        <v>46078</v>
      </c>
      <c r="DI6" s="8" t="s">
        <f>=-Портфель!J39</f>
      </c>
      <c r="DJ6" s="0" t="s">
        <v>589</v>
      </c>
      <c r="DK6" s="0"/>
      <c r="DL6" s="0"/>
      <c r="DM6" s="0"/>
      <c r="DN6" s="0"/>
      <c r="DO6" s="8" t="s">
        <f>=-SUM(DO2:DO4)</f>
      </c>
      <c r="DP6" s="0" t="s">
        <v>591</v>
      </c>
      <c r="DQ6" s="11" t="n">
        <v>46078</v>
      </c>
      <c r="DR6" s="8" t="s">
        <f>=-Портфель!J42</f>
      </c>
      <c r="DS6" s="0" t="s">
        <v>589</v>
      </c>
      <c r="DT6" s="0"/>
      <c r="DU6" s="10" t="s">
        <f>=XIRR(DU2:DU5,DT2:DT5)</f>
      </c>
      <c r="DV6" s="0"/>
      <c r="DW6" s="0"/>
      <c r="DX6" s="0"/>
      <c r="DY6" s="0"/>
      <c r="DZ6" s="11" t="n">
        <v>45506</v>
      </c>
      <c r="EA6" s="6" t="n">
        <v>429.01</v>
      </c>
      <c r="EB6" s="0" t="s">
        <v>587</v>
      </c>
      <c r="EC6" s="11" t="n">
        <v>44805</v>
      </c>
      <c r="ED6" s="6" t="n">
        <v>-379.96</v>
      </c>
      <c r="EE6" s="0" t="s">
        <v>588</v>
      </c>
      <c r="EF6" s="11" t="n">
        <v>45695</v>
      </c>
      <c r="EG6" s="6" t="n">
        <v>6225</v>
      </c>
      <c r="EH6" s="0" t="s">
        <v>587</v>
      </c>
      <c r="EI6" s="11" t="n">
        <v>44663</v>
      </c>
      <c r="EJ6" s="6" t="n">
        <v>-79.14</v>
      </c>
      <c r="EK6" s="0" t="s">
        <v>588</v>
      </c>
      <c r="EL6" s="11" t="n">
        <v>44677</v>
      </c>
      <c r="EM6" s="6" t="n">
        <v>342.03</v>
      </c>
      <c r="EN6" s="0" t="s">
        <v>587</v>
      </c>
      <c r="EO6" s="11" t="n">
        <v>45461</v>
      </c>
      <c r="EP6" s="6" t="s">
        <f>=10749.86</f>
      </c>
      <c r="EQ6" s="0" t="s">
        <v>587</v>
      </c>
      <c r="ER6" s="11" t="n">
        <v>45518</v>
      </c>
      <c r="ES6" s="6" t="s">
        <f>=-2429</f>
      </c>
      <c r="ET6" s="0" t="s">
        <v>349</v>
      </c>
      <c r="EU6" s="11" t="n">
        <v>45812</v>
      </c>
      <c r="EV6" s="6" t="s">
        <f>=-2253.11</f>
      </c>
      <c r="EW6" s="0" t="s">
        <v>404</v>
      </c>
      <c r="EX6" s="11" t="n">
        <v>45560</v>
      </c>
      <c r="EY6" s="6" t="s">
        <f>=-1952</f>
      </c>
      <c r="EZ6" s="0" t="s">
        <v>368</v>
      </c>
      <c r="FA6" s="11" t="n">
        <v>45380</v>
      </c>
      <c r="FB6" s="6" t="s">
        <f>=-29.54</f>
      </c>
      <c r="FC6" s="0" t="s">
        <v>281</v>
      </c>
      <c r="FD6" s="11" t="n">
        <v>45567</v>
      </c>
      <c r="FE6" s="6" t="s">
        <f>=-1502.55</f>
      </c>
      <c r="FF6" s="0" t="s">
        <v>375</v>
      </c>
      <c r="FG6" s="11" t="n">
        <v>45924</v>
      </c>
      <c r="FH6" s="6" t="s">
        <f>=-1770.56</f>
      </c>
      <c r="FI6" s="0" t="s">
        <v>447</v>
      </c>
      <c r="FJ6" s="11" t="n">
        <v>45429</v>
      </c>
      <c r="FK6" s="6" t="s">
        <f>=12321.51</f>
      </c>
      <c r="FL6" s="0" t="s">
        <v>587</v>
      </c>
      <c r="FM6" s="11" t="n">
        <v>45987</v>
      </c>
      <c r="FN6" s="6" t="s">
        <f>=-1401.58</f>
      </c>
      <c r="FO6" s="0" t="s">
        <v>396</v>
      </c>
      <c r="FP6" s="11" t="n">
        <v>45616</v>
      </c>
      <c r="FQ6" s="6" t="s">
        <f>=-532.04</f>
      </c>
      <c r="FR6" s="0" t="s">
        <v>352</v>
      </c>
      <c r="FS6" s="11" t="n">
        <v>46078</v>
      </c>
      <c r="FT6" s="8" t="s">
        <f>=-Портфель!J62</f>
      </c>
      <c r="FU6" s="0" t="s">
        <v>589</v>
      </c>
      <c r="FV6" s="11" t="n">
        <v>46078</v>
      </c>
      <c r="FW6" s="8" t="s">
        <f>=-Портфель!J63</f>
      </c>
      <c r="FX6" s="0" t="s">
        <v>589</v>
      </c>
      <c r="FY6" s="11" t="n">
        <v>45548</v>
      </c>
      <c r="FZ6" s="6" t="s">
        <f>=-310.6</f>
      </c>
      <c r="GA6" s="0" t="s">
        <v>365</v>
      </c>
      <c r="GB6" s="11" t="n">
        <v>45735</v>
      </c>
      <c r="GC6" s="6" t="s">
        <f>=-504.6</f>
      </c>
      <c r="GD6" s="0" t="s">
        <v>303</v>
      </c>
      <c r="GE6" s="11" t="n">
        <v>45387</v>
      </c>
      <c r="GF6" s="6" t="s">
        <f>=-10.26</f>
      </c>
      <c r="GG6" s="0" t="s">
        <v>282</v>
      </c>
      <c r="GH6" s="11" t="n">
        <v>45589</v>
      </c>
      <c r="GI6" s="6" t="s">
        <f>=-175.96</f>
      </c>
      <c r="GJ6" s="0" t="s">
        <v>382</v>
      </c>
      <c r="GK6" s="0"/>
      <c r="GL6" s="0"/>
      <c r="GM6" s="0"/>
      <c r="GN6" s="11" t="n">
        <v>46078</v>
      </c>
      <c r="GO6" s="8" t="s">
        <f>=-Портфель!J69</f>
      </c>
      <c r="GP6" s="0" t="s">
        <v>589</v>
      </c>
      <c r="GQ6" s="0"/>
      <c r="GR6" s="10" t="s">
        <f>=XIRR(GR2:GR5,GQ2:GQ5)</f>
      </c>
      <c r="GS6" s="0"/>
      <c r="GT6" s="11" t="n">
        <v>45496</v>
      </c>
      <c r="GU6" s="6" t="s">
        <f>=933.87</f>
      </c>
      <c r="GV6" s="0" t="s">
        <v>587</v>
      </c>
      <c r="GW6" s="11" t="n">
        <v>45961</v>
      </c>
      <c r="GX6" s="6" t="s">
        <f>=-282.1</f>
      </c>
      <c r="GY6" s="0" t="s">
        <v>505</v>
      </c>
      <c r="GZ6" s="11" t="n">
        <v>45621</v>
      </c>
      <c r="HA6" s="6" t="s">
        <f>=-79.6</f>
      </c>
      <c r="HB6" s="0" t="s">
        <v>294</v>
      </c>
      <c r="HC6" s="0"/>
      <c r="HD6" s="10" t="s">
        <f>=XIRR(HD2:HD5,HC2:HC5)</f>
      </c>
      <c r="HE6" s="0"/>
      <c r="HF6" s="11" t="n">
        <v>46078</v>
      </c>
      <c r="HG6" s="8" t="s">
        <f>=-Портфель!J75</f>
      </c>
      <c r="HH6" s="0" t="s">
        <v>589</v>
      </c>
      <c r="HI6" s="11" t="n">
        <v>45721</v>
      </c>
      <c r="HJ6" s="6" t="s">
        <f>=-200.6</f>
      </c>
      <c r="HK6" s="0" t="s">
        <v>297</v>
      </c>
      <c r="HL6" s="11" t="n">
        <v>45568</v>
      </c>
      <c r="HM6" s="6" t="s">
        <f>=-102.68</f>
      </c>
      <c r="HN6" s="0" t="s">
        <v>310</v>
      </c>
      <c r="HO6" s="11" t="n">
        <v>45396</v>
      </c>
      <c r="HP6" s="6" t="s">
        <f>=-114.5</f>
      </c>
      <c r="HQ6" s="0" t="s">
        <v>311</v>
      </c>
      <c r="HR6" s="11" t="n">
        <v>45625</v>
      </c>
      <c r="HS6" s="6" t="s">
        <f>=-64.43</f>
      </c>
      <c r="HT6" s="0" t="s">
        <v>295</v>
      </c>
      <c r="HU6" s="11" t="n">
        <v>45609</v>
      </c>
      <c r="HV6" s="6" t="s">
        <f>=-500</f>
      </c>
      <c r="HW6" s="0" t="s">
        <v>391</v>
      </c>
      <c r="HX6" s="11" t="n">
        <v>45884</v>
      </c>
      <c r="HY6" s="6" t="s">
        <f>=-115.64</f>
      </c>
      <c r="HZ6" s="0" t="s">
        <v>291</v>
      </c>
      <c r="IA6" s="11" t="n">
        <v>45979</v>
      </c>
      <c r="IB6" s="6" t="s">
        <f>=-144.94</f>
      </c>
      <c r="IC6" s="0" t="s">
        <v>546</v>
      </c>
      <c r="ID6" s="11" t="n">
        <v>45444</v>
      </c>
      <c r="IE6" s="6" t="s">
        <f>=-41.53</f>
      </c>
      <c r="IF6" s="0" t="s">
        <v>308</v>
      </c>
      <c r="IG6" s="11" t="n">
        <v>45635</v>
      </c>
      <c r="IH6" s="6" t="s">
        <f>=-70.78</f>
      </c>
      <c r="II6" s="0" t="s">
        <v>409</v>
      </c>
      <c r="IJ6" s="11" t="n">
        <v>45455</v>
      </c>
      <c r="IK6" s="6" t="s">
        <f>=-25.3</f>
      </c>
      <c r="IL6" s="0" t="s">
        <v>324</v>
      </c>
      <c r="IM6" s="11" t="n">
        <v>45537</v>
      </c>
      <c r="IN6" s="6" t="s">
        <f>=-50.6</f>
      </c>
      <c r="IO6" s="0" t="s">
        <v>356</v>
      </c>
      <c r="IP6" s="11" t="n">
        <v>45422</v>
      </c>
      <c r="IQ6" s="6" t="s">
        <f>=-18.36</f>
      </c>
      <c r="IR6" s="0" t="s">
        <v>288</v>
      </c>
    </row>
    <row collapsed="false" customFormat="false" customHeight="false" hidden="false" ht="12.1" outlineLevel="0" r="7">
      <c r="A7" s="11" t="n">
        <v>45196</v>
      </c>
      <c r="B7" s="6" t="n">
        <v>529.87</v>
      </c>
      <c r="C7" s="0" t="s">
        <v>587</v>
      </c>
      <c r="D7" s="0"/>
      <c r="E7" s="0"/>
      <c r="F7" s="0"/>
      <c r="G7" s="11" t="n">
        <v>45971</v>
      </c>
      <c r="H7" s="6" t="n">
        <v>11556.23</v>
      </c>
      <c r="I7" s="0" t="s">
        <v>587</v>
      </c>
      <c r="J7" s="11" t="n">
        <v>46078</v>
      </c>
      <c r="K7" s="8" t="s">
        <f>=-Портфель!J5</f>
      </c>
      <c r="L7" s="0" t="s">
        <v>589</v>
      </c>
      <c r="M7" s="0"/>
      <c r="N7" s="8" t="s">
        <f>=-SUM(N2:N5)</f>
      </c>
      <c r="O7" s="0" t="s">
        <v>591</v>
      </c>
      <c r="P7" s="0"/>
      <c r="Q7" s="8" t="s">
        <f>=-SUM(Q2:Q5)</f>
      </c>
      <c r="R7" s="0" t="s">
        <v>591</v>
      </c>
      <c r="S7" s="0"/>
      <c r="T7" s="0"/>
      <c r="U7" s="0"/>
      <c r="V7" s="0"/>
      <c r="W7" s="8" t="s">
        <f>=-SUM(W2:W5)</f>
      </c>
      <c r="X7" s="0" t="s">
        <v>591</v>
      </c>
      <c r="Y7" s="0"/>
      <c r="Z7" s="8" t="s">
        <f>=-SUM(Z2:Z5)</f>
      </c>
      <c r="AA7" s="0" t="s">
        <v>591</v>
      </c>
      <c r="AB7" s="0"/>
      <c r="AC7" s="0"/>
      <c r="AD7" s="0"/>
      <c r="AE7" s="11" t="n">
        <v>45579</v>
      </c>
      <c r="AF7" s="6" t="n">
        <v>-542.52</v>
      </c>
      <c r="AG7" s="0" t="s">
        <v>379</v>
      </c>
      <c r="AH7" s="11" t="n">
        <v>46078</v>
      </c>
      <c r="AI7" s="8" t="s">
        <f>=-Портфель!J13</f>
      </c>
      <c r="AJ7" s="0" t="s">
        <v>589</v>
      </c>
      <c r="AK7" s="11" t="n">
        <v>45082</v>
      </c>
      <c r="AL7" s="6" t="n">
        <v>-381</v>
      </c>
      <c r="AM7" s="0" t="s">
        <v>268</v>
      </c>
      <c r="AN7" s="0"/>
      <c r="AO7" s="0"/>
      <c r="AP7" s="0"/>
      <c r="AQ7" s="0"/>
      <c r="AR7" s="10" t="s">
        <f>=XIRR(AR2:AR6,AQ2:AQ6)</f>
      </c>
      <c r="AS7" s="0"/>
      <c r="AT7" s="0"/>
      <c r="AU7" s="0"/>
      <c r="AV7" s="0"/>
      <c r="AW7" s="0"/>
      <c r="AX7" s="8" t="s">
        <f>=-SUM(AX2:AX5)</f>
      </c>
      <c r="AY7" s="0" t="s">
        <v>591</v>
      </c>
      <c r="AZ7" s="11" t="n">
        <v>45490</v>
      </c>
      <c r="BA7" s="6" t="n">
        <v>-90</v>
      </c>
      <c r="BB7" s="0" t="s">
        <v>337</v>
      </c>
      <c r="BC7" s="0"/>
      <c r="BD7" s="0"/>
      <c r="BE7" s="0"/>
      <c r="BF7" s="0"/>
      <c r="BG7" s="0"/>
      <c r="BH7" s="0"/>
      <c r="BI7" s="0"/>
      <c r="BJ7" s="0"/>
      <c r="BK7" s="0"/>
      <c r="BL7" s="0"/>
      <c r="BM7" s="10" t="s">
        <f>=XIRR(BM2:BM6,BL2:BL6)</f>
      </c>
      <c r="BN7" s="0"/>
      <c r="BO7" s="11" t="n">
        <v>45044</v>
      </c>
      <c r="BP7" s="6" t="n">
        <v>597.8</v>
      </c>
      <c r="BQ7" s="0" t="s">
        <v>587</v>
      </c>
      <c r="BR7" s="11" t="n">
        <v>45443</v>
      </c>
      <c r="BS7" s="6" t="n">
        <v>-69.8</v>
      </c>
      <c r="BT7" s="0" t="s">
        <v>319</v>
      </c>
      <c r="BU7" s="0"/>
      <c r="BV7" s="8" t="s">
        <f>=-SUM(BV2:BV5)</f>
      </c>
      <c r="BW7" s="0" t="s">
        <v>591</v>
      </c>
      <c r="BX7" s="0"/>
      <c r="BY7" s="0"/>
      <c r="BZ7" s="0"/>
      <c r="CA7" s="11" t="n">
        <v>46005</v>
      </c>
      <c r="CB7" s="6" t="n">
        <v>-101</v>
      </c>
      <c r="CC7" s="0" t="s">
        <v>559</v>
      </c>
      <c r="CD7" s="0"/>
      <c r="CE7" s="8" t="s">
        <f>=-SUM(CE2:CE5)</f>
      </c>
      <c r="CF7" s="0" t="s">
        <v>591</v>
      </c>
      <c r="CG7" s="11" t="n">
        <v>45446</v>
      </c>
      <c r="CH7" s="6" t="n">
        <v>-84.8</v>
      </c>
      <c r="CI7" s="0" t="s">
        <v>320</v>
      </c>
      <c r="CJ7" s="0"/>
      <c r="CK7" s="10" t="s">
        <f>=XIRR(CK2:CK6,CJ2:CJ6)</f>
      </c>
      <c r="CL7" s="0"/>
      <c r="CM7" s="0"/>
      <c r="CN7" s="0"/>
      <c r="CO7" s="0"/>
      <c r="CP7" s="11" t="n">
        <v>46078</v>
      </c>
      <c r="CQ7" s="8" t="s">
        <f>=-Портфель!J33</f>
      </c>
      <c r="CR7" s="0" t="s">
        <v>589</v>
      </c>
      <c r="CS7" s="0"/>
      <c r="CT7" s="10" t="s">
        <f>=XIRR(CT2:CT6,CS2:CS6)</f>
      </c>
      <c r="CU7" s="0"/>
      <c r="CV7" s="11" t="n">
        <v>46078</v>
      </c>
      <c r="CW7" s="8" t="s">
        <f>=-Портфель!J35</f>
      </c>
      <c r="CX7" s="0" t="s">
        <v>589</v>
      </c>
      <c r="CY7" s="0"/>
      <c r="CZ7" s="8" t="s">
        <f>=-SUM(CZ2:CZ5)</f>
      </c>
      <c r="DA7" s="0" t="s">
        <v>591</v>
      </c>
      <c r="DB7" s="0"/>
      <c r="DC7" s="8" t="s">
        <f>=-SUM(DC2:DC5)</f>
      </c>
      <c r="DD7" s="0" t="s">
        <v>591</v>
      </c>
      <c r="DE7" s="0"/>
      <c r="DF7" s="10" t="s">
        <f>=XIRR(DF2:DF6,DE2:DE6)</f>
      </c>
      <c r="DG7" s="0"/>
      <c r="DH7" s="0"/>
      <c r="DI7" s="10" t="s">
        <f>=XIRR(DI2:DI6,DH2:DH6)</f>
      </c>
      <c r="DJ7" s="0"/>
      <c r="DK7" s="0"/>
      <c r="DL7" s="0"/>
      <c r="DM7" s="0"/>
      <c r="DN7" s="0"/>
      <c r="DO7" s="0"/>
      <c r="DP7" s="0"/>
      <c r="DQ7" s="0"/>
      <c r="DR7" s="10" t="s">
        <f>=XIRR(DR2:DR6,DQ2:DQ6)</f>
      </c>
      <c r="DS7" s="0"/>
      <c r="DT7" s="0"/>
      <c r="DU7" s="8" t="s">
        <f>=-SUM(DU2:DU5)</f>
      </c>
      <c r="DV7" s="0" t="s">
        <v>591</v>
      </c>
      <c r="DW7" s="0"/>
      <c r="DX7" s="0"/>
      <c r="DY7" s="0"/>
      <c r="DZ7" s="11" t="n">
        <v>45509</v>
      </c>
      <c r="EA7" s="6" t="n">
        <v>143.52</v>
      </c>
      <c r="EB7" s="0" t="s">
        <v>587</v>
      </c>
      <c r="EC7" s="11" t="n">
        <v>44830</v>
      </c>
      <c r="ED7" s="6" t="n">
        <v>300.23</v>
      </c>
      <c r="EE7" s="0" t="s">
        <v>587</v>
      </c>
      <c r="EF7" s="11" t="n">
        <v>45698</v>
      </c>
      <c r="EG7" s="6" t="n">
        <v>297.44</v>
      </c>
      <c r="EH7" s="0" t="s">
        <v>587</v>
      </c>
      <c r="EI7" s="11" t="n">
        <v>44687</v>
      </c>
      <c r="EJ7" s="6" t="n">
        <v>1487.07</v>
      </c>
      <c r="EK7" s="0" t="s">
        <v>587</v>
      </c>
      <c r="EL7" s="11" t="n">
        <v>44678</v>
      </c>
      <c r="EM7" s="6" t="n">
        <v>226.02</v>
      </c>
      <c r="EN7" s="0" t="s">
        <v>587</v>
      </c>
      <c r="EO7" s="11" t="n">
        <v>45462</v>
      </c>
      <c r="EP7" s="6" t="s">
        <f>=533.02</f>
      </c>
      <c r="EQ7" s="0" t="s">
        <v>587</v>
      </c>
      <c r="ER7" s="11" t="n">
        <v>45700</v>
      </c>
      <c r="ES7" s="6" t="s">
        <f>=-2429</f>
      </c>
      <c r="ET7" s="0" t="s">
        <v>349</v>
      </c>
      <c r="EU7" s="11" t="n">
        <v>45994</v>
      </c>
      <c r="EV7" s="6" t="s">
        <f>=-2253.11</f>
      </c>
      <c r="EW7" s="0" t="s">
        <v>404</v>
      </c>
      <c r="EX7" s="11" t="n">
        <v>45742</v>
      </c>
      <c r="EY7" s="6" t="s">
        <f>=-1952</f>
      </c>
      <c r="EZ7" s="0" t="s">
        <v>368</v>
      </c>
      <c r="FA7" s="11" t="n">
        <v>45410</v>
      </c>
      <c r="FB7" s="6" t="s">
        <f>=-29.54</f>
      </c>
      <c r="FC7" s="0" t="s">
        <v>281</v>
      </c>
      <c r="FD7" s="11" t="n">
        <v>45749</v>
      </c>
      <c r="FE7" s="6" t="s">
        <f>=-1502.55</f>
      </c>
      <c r="FF7" s="0" t="s">
        <v>375</v>
      </c>
      <c r="FG7" s="11" t="n">
        <v>46078</v>
      </c>
      <c r="FH7" s="8" t="s">
        <f>=-Портфель!J58</f>
      </c>
      <c r="FI7" s="0" t="s">
        <v>589</v>
      </c>
      <c r="FJ7" s="11" t="n">
        <v>45496</v>
      </c>
      <c r="FK7" s="6" t="s">
        <f>=2200.64</f>
      </c>
      <c r="FL7" s="0" t="s">
        <v>587</v>
      </c>
      <c r="FM7" s="11" t="n">
        <v>46078</v>
      </c>
      <c r="FN7" s="8" t="s">
        <f>=-Портфель!J60</f>
      </c>
      <c r="FO7" s="0" t="s">
        <v>589</v>
      </c>
      <c r="FP7" s="11" t="n">
        <v>45707</v>
      </c>
      <c r="FQ7" s="6" t="s">
        <f>=-532.04</f>
      </c>
      <c r="FR7" s="0" t="s">
        <v>352</v>
      </c>
      <c r="FS7" s="0"/>
      <c r="FT7" s="10" t="s">
        <f>=XIRR(FT2:FT6,FS2:FS6)</f>
      </c>
      <c r="FU7" s="0"/>
      <c r="FV7" s="0"/>
      <c r="FW7" s="10" t="s">
        <f>=XIRR(FW2:FW6,FV2:FV6)</f>
      </c>
      <c r="FX7" s="0"/>
      <c r="FY7" s="11" t="n">
        <v>45639</v>
      </c>
      <c r="FZ7" s="6" t="s">
        <f>=-310.6</f>
      </c>
      <c r="GA7" s="0" t="s">
        <v>365</v>
      </c>
      <c r="GB7" s="11" t="n">
        <v>45917</v>
      </c>
      <c r="GC7" s="6" t="s">
        <f>=-504.6</f>
      </c>
      <c r="GD7" s="0" t="s">
        <v>303</v>
      </c>
      <c r="GE7" s="11" t="n">
        <v>45417</v>
      </c>
      <c r="GF7" s="6" t="s">
        <f>=-10.26</f>
      </c>
      <c r="GG7" s="0" t="s">
        <v>282</v>
      </c>
      <c r="GH7" s="11" t="n">
        <v>45680</v>
      </c>
      <c r="GI7" s="6" t="s">
        <f>=-175.96</f>
      </c>
      <c r="GJ7" s="0" t="s">
        <v>382</v>
      </c>
      <c r="GK7" s="0"/>
      <c r="GL7" s="0"/>
      <c r="GM7" s="0"/>
      <c r="GN7" s="0"/>
      <c r="GO7" s="10" t="s">
        <f>=XIRR(GO2:GO6,GN2:GN6)</f>
      </c>
      <c r="GP7" s="0"/>
      <c r="GQ7" s="0"/>
      <c r="GR7" s="8" t="s">
        <f>=-SUM(GR2:GR5)</f>
      </c>
      <c r="GS7" s="0" t="s">
        <v>591</v>
      </c>
      <c r="GT7" s="11" t="n">
        <v>45525</v>
      </c>
      <c r="GU7" s="6" t="s">
        <f>=-148.8</f>
      </c>
      <c r="GV7" s="0" t="s">
        <v>351</v>
      </c>
      <c r="GW7" s="11" t="n">
        <v>46052</v>
      </c>
      <c r="GX7" s="6" t="s">
        <f>=-282.1</f>
      </c>
      <c r="GY7" s="0" t="s">
        <v>505</v>
      </c>
      <c r="GZ7" s="11" t="n">
        <v>45712</v>
      </c>
      <c r="HA7" s="6" t="s">
        <f>=-79.6</f>
      </c>
      <c r="HB7" s="0" t="s">
        <v>294</v>
      </c>
      <c r="HC7" s="0"/>
      <c r="HD7" s="8" t="s">
        <f>=-SUM(HD2:HD5)</f>
      </c>
      <c r="HE7" s="0" t="s">
        <v>591</v>
      </c>
      <c r="HF7" s="0"/>
      <c r="HG7" s="10" t="s">
        <f>=XIRR(HG2:HG6,HF2:HF6)</f>
      </c>
      <c r="HH7" s="0"/>
      <c r="HI7" s="11" t="n">
        <v>45903</v>
      </c>
      <c r="HJ7" s="6" t="s">
        <f>=-200.6</f>
      </c>
      <c r="HK7" s="0" t="s">
        <v>297</v>
      </c>
      <c r="HL7" s="11" t="n">
        <v>45659</v>
      </c>
      <c r="HM7" s="6" t="s">
        <f>=-102.68</f>
      </c>
      <c r="HN7" s="0" t="s">
        <v>310</v>
      </c>
      <c r="HO7" s="11" t="n">
        <v>45426</v>
      </c>
      <c r="HP7" s="6" t="s">
        <f>=-114.5</f>
      </c>
      <c r="HQ7" s="0" t="s">
        <v>311</v>
      </c>
      <c r="HR7" s="11" t="n">
        <v>45716</v>
      </c>
      <c r="HS7" s="6" t="s">
        <f>=-64.43</f>
      </c>
      <c r="HT7" s="0" t="s">
        <v>295</v>
      </c>
      <c r="HU7" s="11" t="n">
        <v>45610</v>
      </c>
      <c r="HV7" s="6" t="s">
        <f>=-173.45</f>
      </c>
      <c r="HW7" s="0" t="s">
        <v>290</v>
      </c>
      <c r="HX7" s="11" t="n">
        <v>46066</v>
      </c>
      <c r="HY7" s="6" t="s">
        <f>=-115.64</f>
      </c>
      <c r="HZ7" s="0" t="s">
        <v>291</v>
      </c>
      <c r="IA7" s="11" t="n">
        <v>46078</v>
      </c>
      <c r="IB7" s="8" t="s">
        <f>=-Портфель!J82</f>
      </c>
      <c r="IC7" s="0" t="s">
        <v>589</v>
      </c>
      <c r="ID7" s="11" t="n">
        <v>45473</v>
      </c>
      <c r="IE7" s="6" t="s">
        <f>=-404.11</f>
      </c>
      <c r="IF7" s="0" t="s">
        <v>330</v>
      </c>
      <c r="IG7" s="11" t="n">
        <v>45817</v>
      </c>
      <c r="IH7" s="6" t="s">
        <f>=-70.78</f>
      </c>
      <c r="II7" s="0" t="s">
        <v>409</v>
      </c>
      <c r="IJ7" s="11" t="n">
        <v>45545</v>
      </c>
      <c r="IK7" s="6" t="s">
        <f>=-15.86</f>
      </c>
      <c r="IL7" s="0" t="s">
        <v>359</v>
      </c>
      <c r="IM7" s="11" t="n">
        <v>45566</v>
      </c>
      <c r="IN7" s="6" t="s">
        <f>=-390.7</f>
      </c>
      <c r="IO7" s="0" t="s">
        <v>373</v>
      </c>
      <c r="IP7" s="11" t="n">
        <v>45452</v>
      </c>
      <c r="IQ7" s="6" t="s">
        <f>=-18.36</f>
      </c>
      <c r="IR7" s="0" t="s">
        <v>288</v>
      </c>
    </row>
    <row collapsed="false" customFormat="false" customHeight="false" hidden="false" ht="12.1" outlineLevel="0" r="8">
      <c r="A8" s="11" t="n">
        <v>45302</v>
      </c>
      <c r="B8" s="6" t="n">
        <v>-80.31</v>
      </c>
      <c r="C8" s="0" t="s">
        <v>284</v>
      </c>
      <c r="D8" s="0"/>
      <c r="E8" s="0"/>
      <c r="F8" s="0"/>
      <c r="G8" s="11" t="n">
        <v>46078</v>
      </c>
      <c r="H8" s="8" t="s">
        <f>=-Портфель!J4</f>
      </c>
      <c r="I8" s="0" t="s">
        <v>589</v>
      </c>
      <c r="J8" s="0"/>
      <c r="K8" s="10" t="s">
        <f>=XIRR(K2:K7,J2:J7)</f>
      </c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11" t="n">
        <v>45846</v>
      </c>
      <c r="AF8" s="6" t="n">
        <v>-284.52</v>
      </c>
      <c r="AG8" s="0" t="s">
        <v>490</v>
      </c>
      <c r="AH8" s="0"/>
      <c r="AI8" s="10" t="s">
        <f>=XIRR(AI2:AI7,AH2:AH7)</f>
      </c>
      <c r="AJ8" s="0"/>
      <c r="AK8" s="11" t="n">
        <v>45277</v>
      </c>
      <c r="AL8" s="6" t="n">
        <v>-389</v>
      </c>
      <c r="AM8" s="0" t="s">
        <v>280</v>
      </c>
      <c r="AN8" s="0"/>
      <c r="AO8" s="0"/>
      <c r="AP8" s="0"/>
      <c r="AQ8" s="0"/>
      <c r="AR8" s="8" t="s">
        <f>=-SUM(AR2:AR6)</f>
      </c>
      <c r="AS8" s="0" t="s">
        <v>591</v>
      </c>
      <c r="AT8" s="0"/>
      <c r="AU8" s="0"/>
      <c r="AV8" s="0"/>
      <c r="AW8" s="0"/>
      <c r="AX8" s="0"/>
      <c r="AY8" s="0"/>
      <c r="AZ8" s="11" t="n">
        <v>46078</v>
      </c>
      <c r="BA8" s="8" t="s">
        <f>=-Портфель!J19</f>
      </c>
      <c r="BB8" s="0" t="s">
        <v>589</v>
      </c>
      <c r="BC8" s="0"/>
      <c r="BD8" s="0"/>
      <c r="BE8" s="0"/>
      <c r="BF8" s="0"/>
      <c r="BG8" s="0"/>
      <c r="BH8" s="0"/>
      <c r="BI8" s="0"/>
      <c r="BJ8" s="0"/>
      <c r="BK8" s="0"/>
      <c r="BL8" s="0"/>
      <c r="BM8" s="8" t="s">
        <f>=-SUM(BM2:BM6)</f>
      </c>
      <c r="BN8" s="0" t="s">
        <v>591</v>
      </c>
      <c r="BO8" s="11" t="n">
        <v>45083</v>
      </c>
      <c r="BP8" s="6" t="n">
        <v>577.29</v>
      </c>
      <c r="BQ8" s="0" t="s">
        <v>587</v>
      </c>
      <c r="BR8" s="11" t="n">
        <v>45584</v>
      </c>
      <c r="BS8" s="6" t="n">
        <v>-86.6</v>
      </c>
      <c r="BT8" s="0" t="s">
        <v>381</v>
      </c>
      <c r="BU8" s="0"/>
      <c r="BV8" s="0"/>
      <c r="BW8" s="0"/>
      <c r="BX8" s="0"/>
      <c r="BY8" s="0"/>
      <c r="BZ8" s="0"/>
      <c r="CA8" s="11" t="n">
        <v>46078</v>
      </c>
      <c r="CB8" s="8" t="s">
        <f>=-Портфель!J28</f>
      </c>
      <c r="CC8" s="0" t="s">
        <v>589</v>
      </c>
      <c r="CD8" s="0"/>
      <c r="CE8" s="0"/>
      <c r="CF8" s="0"/>
      <c r="CG8" s="11" t="n">
        <v>45537</v>
      </c>
      <c r="CH8" s="6" t="n">
        <v>362.69</v>
      </c>
      <c r="CI8" s="0" t="s">
        <v>587</v>
      </c>
      <c r="CJ8" s="0"/>
      <c r="CK8" s="8" t="s">
        <f>=-SUM(CK2:CK6)</f>
      </c>
      <c r="CL8" s="0" t="s">
        <v>591</v>
      </c>
      <c r="CM8" s="0"/>
      <c r="CN8" s="0"/>
      <c r="CO8" s="0"/>
      <c r="CP8" s="0"/>
      <c r="CQ8" s="10" t="s">
        <f>=XIRR(CQ2:CQ7,CP2:CP7)</f>
      </c>
      <c r="CR8" s="0"/>
      <c r="CS8" s="0"/>
      <c r="CT8" s="8" t="s">
        <f>=-SUM(CT2:CT6)</f>
      </c>
      <c r="CU8" s="0" t="s">
        <v>591</v>
      </c>
      <c r="CV8" s="0"/>
      <c r="CW8" s="10" t="s">
        <f>=XIRR(CW2:CW7,CV2:CV7)</f>
      </c>
      <c r="CX8" s="0"/>
      <c r="CY8" s="0"/>
      <c r="CZ8" s="0"/>
      <c r="DA8" s="0"/>
      <c r="DB8" s="0"/>
      <c r="DC8" s="0"/>
      <c r="DD8" s="0"/>
      <c r="DE8" s="0"/>
      <c r="DF8" s="8" t="s">
        <f>=-SUM(DF2:DF6)</f>
      </c>
      <c r="DG8" s="0" t="s">
        <v>591</v>
      </c>
      <c r="DH8" s="0"/>
      <c r="DI8" s="8" t="s">
        <f>=-SUM(DI2:DI6)</f>
      </c>
      <c r="DJ8" s="0" t="s">
        <v>591</v>
      </c>
      <c r="DK8" s="0"/>
      <c r="DL8" s="0"/>
      <c r="DM8" s="0"/>
      <c r="DN8" s="0"/>
      <c r="DO8" s="0"/>
      <c r="DP8" s="0"/>
      <c r="DQ8" s="0"/>
      <c r="DR8" s="8" t="s">
        <f>=-SUM(DR2:DR6)</f>
      </c>
      <c r="DS8" s="0" t="s">
        <v>591</v>
      </c>
      <c r="DT8" s="0"/>
      <c r="DU8" s="0"/>
      <c r="DV8" s="0"/>
      <c r="DW8" s="0"/>
      <c r="DX8" s="0"/>
      <c r="DY8" s="0"/>
      <c r="DZ8" s="11" t="n">
        <v>45526</v>
      </c>
      <c r="EA8" s="6" t="n">
        <v>575.61</v>
      </c>
      <c r="EB8" s="0" t="s">
        <v>587</v>
      </c>
      <c r="EC8" s="11" t="n">
        <v>44838</v>
      </c>
      <c r="ED8" s="6" t="n">
        <v>-322.37</v>
      </c>
      <c r="EE8" s="0" t="s">
        <v>588</v>
      </c>
      <c r="EF8" s="11" t="n">
        <v>45783</v>
      </c>
      <c r="EG8" s="6" t="n">
        <v>252.08</v>
      </c>
      <c r="EH8" s="0" t="s">
        <v>587</v>
      </c>
      <c r="EI8" s="11" t="n">
        <v>44694</v>
      </c>
      <c r="EJ8" s="6" t="n">
        <v>-1844.47</v>
      </c>
      <c r="EK8" s="0" t="s">
        <v>588</v>
      </c>
      <c r="EL8" s="11" t="n">
        <v>44685</v>
      </c>
      <c r="EM8" s="6" t="n">
        <v>109.02</v>
      </c>
      <c r="EN8" s="0" t="s">
        <v>587</v>
      </c>
      <c r="EO8" s="11" t="n">
        <v>45488</v>
      </c>
      <c r="EP8" s="6" t="s">
        <f>=15854.46</f>
      </c>
      <c r="EQ8" s="0" t="s">
        <v>587</v>
      </c>
      <c r="ER8" s="11" t="n">
        <v>45882</v>
      </c>
      <c r="ES8" s="6" t="s">
        <f>=-2429</f>
      </c>
      <c r="ET8" s="0" t="s">
        <v>349</v>
      </c>
      <c r="EU8" s="11" t="n">
        <v>46078</v>
      </c>
      <c r="EV8" s="8" t="s">
        <f>=-Портфель!J54</f>
      </c>
      <c r="EW8" s="0" t="s">
        <v>589</v>
      </c>
      <c r="EX8" s="11" t="n">
        <v>45924</v>
      </c>
      <c r="EY8" s="6" t="s">
        <f>=-1952</f>
      </c>
      <c r="EZ8" s="0" t="s">
        <v>368</v>
      </c>
      <c r="FA8" s="11" t="n">
        <v>45440</v>
      </c>
      <c r="FB8" s="6" t="s">
        <f>=-29.54</f>
      </c>
      <c r="FC8" s="0" t="s">
        <v>281</v>
      </c>
      <c r="FD8" s="11" t="n">
        <v>45931</v>
      </c>
      <c r="FE8" s="6" t="s">
        <f>=-1502.55</f>
      </c>
      <c r="FF8" s="0" t="s">
        <v>375</v>
      </c>
      <c r="FG8" s="0"/>
      <c r="FH8" s="10" t="s">
        <f>=XIRR(FH2:FH7,FG2:FG7)</f>
      </c>
      <c r="FI8" s="0"/>
      <c r="FJ8" s="11" t="n">
        <v>45553</v>
      </c>
      <c r="FK8" s="6" t="s">
        <f>=-987.94</f>
      </c>
      <c r="FL8" s="0" t="s">
        <v>366</v>
      </c>
      <c r="FM8" s="0"/>
      <c r="FN8" s="10" t="s">
        <f>=XIRR(FN2:FN7,FM2:FM7)</f>
      </c>
      <c r="FO8" s="0"/>
      <c r="FP8" s="11" t="n">
        <v>45798</v>
      </c>
      <c r="FQ8" s="6" t="s">
        <f>=-532.04</f>
      </c>
      <c r="FR8" s="0" t="s">
        <v>352</v>
      </c>
      <c r="FS8" s="0"/>
      <c r="FT8" s="8" t="s">
        <f>=-SUM(FT2:FT6)</f>
      </c>
      <c r="FU8" s="0" t="s">
        <v>591</v>
      </c>
      <c r="FV8" s="0"/>
      <c r="FW8" s="8" t="s">
        <f>=-SUM(FW2:FW6)</f>
      </c>
      <c r="FX8" s="0" t="s">
        <v>591</v>
      </c>
      <c r="FY8" s="11" t="n">
        <v>45730</v>
      </c>
      <c r="FZ8" s="6" t="s">
        <f>=-310.6</f>
      </c>
      <c r="GA8" s="0" t="s">
        <v>365</v>
      </c>
      <c r="GB8" s="11" t="n">
        <v>46078</v>
      </c>
      <c r="GC8" s="8" t="s">
        <f>=-Портфель!J65</f>
      </c>
      <c r="GD8" s="0" t="s">
        <v>589</v>
      </c>
      <c r="GE8" s="11" t="n">
        <v>45447</v>
      </c>
      <c r="GF8" s="6" t="s">
        <f>=-10.26</f>
      </c>
      <c r="GG8" s="0" t="s">
        <v>282</v>
      </c>
      <c r="GH8" s="11" t="n">
        <v>45771</v>
      </c>
      <c r="GI8" s="6" t="s">
        <f>=-175.96</f>
      </c>
      <c r="GJ8" s="0" t="s">
        <v>382</v>
      </c>
      <c r="GK8" s="0"/>
      <c r="GL8" s="0"/>
      <c r="GM8" s="0"/>
      <c r="GN8" s="0"/>
      <c r="GO8" s="8" t="s">
        <f>=-SUM(GO2:GO6)</f>
      </c>
      <c r="GP8" s="0" t="s">
        <v>591</v>
      </c>
      <c r="GQ8" s="0"/>
      <c r="GR8" s="0"/>
      <c r="GS8" s="0"/>
      <c r="GT8" s="11" t="n">
        <v>45616</v>
      </c>
      <c r="GU8" s="6" t="s">
        <f>=-148.8</f>
      </c>
      <c r="GV8" s="0" t="s">
        <v>351</v>
      </c>
      <c r="GW8" s="11" t="n">
        <v>46078</v>
      </c>
      <c r="GX8" s="8" t="s">
        <f>=-Портфель!J72</f>
      </c>
      <c r="GY8" s="0" t="s">
        <v>589</v>
      </c>
      <c r="GZ8" s="11" t="n">
        <v>45803</v>
      </c>
      <c r="HA8" s="6" t="s">
        <f>=-260.2</f>
      </c>
      <c r="HB8" s="0" t="s">
        <v>465</v>
      </c>
      <c r="HC8" s="0"/>
      <c r="HD8" s="0"/>
      <c r="HE8" s="0"/>
      <c r="HF8" s="0"/>
      <c r="HG8" s="8" t="s">
        <f>=-SUM(HG2:HG6)</f>
      </c>
      <c r="HH8" s="0" t="s">
        <v>591</v>
      </c>
      <c r="HI8" s="11" t="n">
        <v>46078</v>
      </c>
      <c r="HJ8" s="8" t="s">
        <f>=-Портфель!J76</f>
      </c>
      <c r="HK8" s="0" t="s">
        <v>589</v>
      </c>
      <c r="HL8" s="11" t="n">
        <v>45750</v>
      </c>
      <c r="HM8" s="6" t="s">
        <f>=-102.68</f>
      </c>
      <c r="HN8" s="0" t="s">
        <v>310</v>
      </c>
      <c r="HO8" s="11" t="n">
        <v>45456</v>
      </c>
      <c r="HP8" s="6" t="s">
        <f>=-114.5</f>
      </c>
      <c r="HQ8" s="0" t="s">
        <v>311</v>
      </c>
      <c r="HR8" s="11" t="n">
        <v>45807</v>
      </c>
      <c r="HS8" s="6" t="s">
        <f>=-64.43</f>
      </c>
      <c r="HT8" s="0" t="s">
        <v>295</v>
      </c>
      <c r="HU8" s="11" t="n">
        <v>45700</v>
      </c>
      <c r="HV8" s="6" t="s">
        <f>=-500</f>
      </c>
      <c r="HW8" s="0" t="s">
        <v>391</v>
      </c>
      <c r="HX8" s="11" t="n">
        <v>46078</v>
      </c>
      <c r="HY8" s="8" t="s">
        <f>=-Портфель!J81</f>
      </c>
      <c r="HZ8" s="0" t="s">
        <v>589</v>
      </c>
      <c r="IA8" s="0"/>
      <c r="IB8" s="10" t="s">
        <f>=XIRR(IB2:IB7,IA2:IA7)</f>
      </c>
      <c r="IC8" s="0"/>
      <c r="ID8" s="11" t="n">
        <v>45474</v>
      </c>
      <c r="IE8" s="6" t="s">
        <f>=-40.06</f>
      </c>
      <c r="IF8" s="0" t="s">
        <v>313</v>
      </c>
      <c r="IG8" s="11" t="n">
        <v>45999</v>
      </c>
      <c r="IH8" s="6" t="s">
        <f>=-70.78</f>
      </c>
      <c r="II8" s="0" t="s">
        <v>409</v>
      </c>
      <c r="IJ8" s="11" t="n">
        <v>45546</v>
      </c>
      <c r="IK8" s="6" t="s">
        <f>=-24.63</f>
      </c>
      <c r="IL8" s="0" t="s">
        <v>363</v>
      </c>
      <c r="IM8" s="11" t="n">
        <v>45567</v>
      </c>
      <c r="IN8" s="6" t="s">
        <f>=-44.6</f>
      </c>
      <c r="IO8" s="0" t="s">
        <v>376</v>
      </c>
      <c r="IP8" s="11" t="n">
        <v>45482</v>
      </c>
      <c r="IQ8" s="6" t="s">
        <f>=-18.36</f>
      </c>
      <c r="IR8" s="0" t="s">
        <v>288</v>
      </c>
    </row>
    <row collapsed="false" customFormat="false" customHeight="false" hidden="false" ht="12.1" outlineLevel="0" r="9">
      <c r="A9" s="11" t="n">
        <v>45482</v>
      </c>
      <c r="B9" s="6" t="n">
        <v>-76.03</v>
      </c>
      <c r="C9" s="0" t="s">
        <v>332</v>
      </c>
      <c r="D9" s="0"/>
      <c r="E9" s="0"/>
      <c r="F9" s="0"/>
      <c r="G9" s="0"/>
      <c r="H9" s="10" t="s">
        <f>=XIRR(H2:H8,G2:G8)</f>
      </c>
      <c r="I9" s="0"/>
      <c r="J9" s="0"/>
      <c r="K9" s="8" t="s">
        <f>=-SUM(K2:K7)</f>
      </c>
      <c r="L9" s="0" t="s">
        <v>591</v>
      </c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45943</v>
      </c>
      <c r="AF9" s="6" t="n">
        <v>-180.6</v>
      </c>
      <c r="AG9" s="0" t="s">
        <v>534</v>
      </c>
      <c r="AH9" s="0"/>
      <c r="AI9" s="8" t="s">
        <f>=-SUM(AI2:AI7)</f>
      </c>
      <c r="AJ9" s="0" t="s">
        <v>591</v>
      </c>
      <c r="AK9" s="11" t="n">
        <v>45419</v>
      </c>
      <c r="AL9" s="6" t="n">
        <v>-433</v>
      </c>
      <c r="AM9" s="0" t="s">
        <v>315</v>
      </c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10" t="s">
        <f>=XIRR(BA2:BA8,AZ2:AZ8)</f>
      </c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11" t="n">
        <v>45118</v>
      </c>
      <c r="BP9" s="6" t="n">
        <v>-35</v>
      </c>
      <c r="BQ9" s="0" t="s">
        <v>272</v>
      </c>
      <c r="BR9" s="11" t="n">
        <v>46078</v>
      </c>
      <c r="BS9" s="8" t="s">
        <f>=-Портфель!J25</f>
      </c>
      <c r="BT9" s="0" t="s">
        <v>589</v>
      </c>
      <c r="BU9" s="0"/>
      <c r="BV9" s="0"/>
      <c r="BW9" s="0"/>
      <c r="BX9" s="0"/>
      <c r="BY9" s="0"/>
      <c r="BZ9" s="0"/>
      <c r="CA9" s="0"/>
      <c r="CB9" s="10" t="s">
        <f>=XIRR(CB2:CB8,CA2:CA8)</f>
      </c>
      <c r="CC9" s="0"/>
      <c r="CD9" s="0"/>
      <c r="CE9" s="0"/>
      <c r="CF9" s="0"/>
      <c r="CG9" s="11" t="n">
        <v>45817</v>
      </c>
      <c r="CH9" s="6" t="n">
        <v>-123.5</v>
      </c>
      <c r="CI9" s="0" t="s">
        <v>477</v>
      </c>
      <c r="CJ9" s="0"/>
      <c r="CK9" s="0"/>
      <c r="CL9" s="0"/>
      <c r="CM9" s="0"/>
      <c r="CN9" s="0"/>
      <c r="CO9" s="0"/>
      <c r="CP9" s="0"/>
      <c r="CQ9" s="8" t="s">
        <f>=-SUM(CQ2:CQ7)</f>
      </c>
      <c r="CR9" s="0" t="s">
        <v>591</v>
      </c>
      <c r="CS9" s="0"/>
      <c r="CT9" s="0"/>
      <c r="CU9" s="0"/>
      <c r="CV9" s="0"/>
      <c r="CW9" s="8" t="s">
        <f>=-SUM(CW2:CW7)</f>
      </c>
      <c r="CX9" s="0" t="s">
        <v>591</v>
      </c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11" t="n">
        <v>45537</v>
      </c>
      <c r="EA9" s="6" t="n">
        <v>143.2</v>
      </c>
      <c r="EB9" s="0" t="s">
        <v>587</v>
      </c>
      <c r="EC9" s="11" t="n">
        <v>45463</v>
      </c>
      <c r="ED9" s="6" t="n">
        <v>4232.77</v>
      </c>
      <c r="EE9" s="0" t="s">
        <v>587</v>
      </c>
      <c r="EF9" s="11" t="n">
        <v>45789</v>
      </c>
      <c r="EG9" s="6" t="n">
        <v>252.3</v>
      </c>
      <c r="EH9" s="0" t="s">
        <v>587</v>
      </c>
      <c r="EI9" s="11" t="n">
        <v>44697</v>
      </c>
      <c r="EJ9" s="6" t="n">
        <v>6075.39</v>
      </c>
      <c r="EK9" s="0" t="s">
        <v>587</v>
      </c>
      <c r="EL9" s="11" t="n">
        <v>44686</v>
      </c>
      <c r="EM9" s="6" t="n">
        <v>106.02</v>
      </c>
      <c r="EN9" s="0" t="s">
        <v>587</v>
      </c>
      <c r="EO9" s="11" t="n">
        <v>45630</v>
      </c>
      <c r="EP9" s="6" t="s">
        <f>=-2710.2</f>
      </c>
      <c r="EQ9" s="0" t="s">
        <v>403</v>
      </c>
      <c r="ER9" s="11" t="n">
        <v>46064</v>
      </c>
      <c r="ES9" s="6" t="s">
        <f>=-2429</f>
      </c>
      <c r="ET9" s="0" t="s">
        <v>349</v>
      </c>
      <c r="EU9" s="0"/>
      <c r="EV9" s="10" t="s">
        <f>=XIRR(EV2:EV8,EU2:EU8)</f>
      </c>
      <c r="EW9" s="0"/>
      <c r="EX9" s="11" t="n">
        <v>46078</v>
      </c>
      <c r="EY9" s="8" t="s">
        <f>=-Портфель!J55</f>
      </c>
      <c r="EZ9" s="0" t="s">
        <v>589</v>
      </c>
      <c r="FA9" s="11" t="n">
        <v>45470</v>
      </c>
      <c r="FB9" s="6" t="s">
        <f>=-29.54</f>
      </c>
      <c r="FC9" s="0" t="s">
        <v>281</v>
      </c>
      <c r="FD9" s="11" t="n">
        <v>46078</v>
      </c>
      <c r="FE9" s="8" t="s">
        <f>=-Портфель!J57</f>
      </c>
      <c r="FF9" s="0" t="s">
        <v>589</v>
      </c>
      <c r="FG9" s="0"/>
      <c r="FH9" s="8" t="s">
        <f>=-SUM(FH2:FH7)</f>
      </c>
      <c r="FI9" s="0" t="s">
        <v>591</v>
      </c>
      <c r="FJ9" s="11" t="n">
        <v>45735</v>
      </c>
      <c r="FK9" s="6" t="s">
        <f>=-987.94</f>
      </c>
      <c r="FL9" s="0" t="s">
        <v>366</v>
      </c>
      <c r="FM9" s="0"/>
      <c r="FN9" s="8" t="s">
        <f>=-SUM(FN2:FN7)</f>
      </c>
      <c r="FO9" s="0" t="s">
        <v>591</v>
      </c>
      <c r="FP9" s="11" t="n">
        <v>45889</v>
      </c>
      <c r="FQ9" s="6" t="s">
        <f>=-532.04</f>
      </c>
      <c r="FR9" s="0" t="s">
        <v>352</v>
      </c>
      <c r="FS9" s="0"/>
      <c r="FT9" s="0"/>
      <c r="FU9" s="0"/>
      <c r="FV9" s="0"/>
      <c r="FW9" s="0"/>
      <c r="FX9" s="0"/>
      <c r="FY9" s="11" t="n">
        <v>45821</v>
      </c>
      <c r="FZ9" s="6" t="s">
        <f>=-310.6</f>
      </c>
      <c r="GA9" s="0" t="s">
        <v>365</v>
      </c>
      <c r="GB9" s="0"/>
      <c r="GC9" s="10" t="s">
        <f>=XIRR(GC2:GC8,GB2:GB8)</f>
      </c>
      <c r="GD9" s="0"/>
      <c r="GE9" s="11" t="n">
        <v>45477</v>
      </c>
      <c r="GF9" s="6" t="s">
        <f>=-10.26</f>
      </c>
      <c r="GG9" s="0" t="s">
        <v>282</v>
      </c>
      <c r="GH9" s="11" t="n">
        <v>45862</v>
      </c>
      <c r="GI9" s="6" t="s">
        <f>=-175.96</f>
      </c>
      <c r="GJ9" s="0" t="s">
        <v>382</v>
      </c>
      <c r="GK9" s="0"/>
      <c r="GL9" s="0"/>
      <c r="GM9" s="0"/>
      <c r="GN9" s="0"/>
      <c r="GO9" s="0"/>
      <c r="GP9" s="0"/>
      <c r="GQ9" s="0"/>
      <c r="GR9" s="0"/>
      <c r="GS9" s="0"/>
      <c r="GT9" s="11" t="n">
        <v>45707</v>
      </c>
      <c r="GU9" s="6" t="s">
        <f>=-148.8</f>
      </c>
      <c r="GV9" s="0" t="s">
        <v>351</v>
      </c>
      <c r="GW9" s="0"/>
      <c r="GX9" s="10" t="s">
        <f>=XIRR(GX2:GX8,GW2:GW8)</f>
      </c>
      <c r="GY9" s="0"/>
      <c r="GZ9" s="11" t="n">
        <v>45894</v>
      </c>
      <c r="HA9" s="6" t="s">
        <f>=-260.2</f>
      </c>
      <c r="HB9" s="0" t="s">
        <v>465</v>
      </c>
      <c r="HC9" s="0"/>
      <c r="HD9" s="0"/>
      <c r="HE9" s="0"/>
      <c r="HF9" s="0"/>
      <c r="HG9" s="0"/>
      <c r="HH9" s="0"/>
      <c r="HI9" s="0"/>
      <c r="HJ9" s="10" t="s">
        <f>=XIRR(HJ2:HJ8,HI2:HI8)</f>
      </c>
      <c r="HK9" s="0"/>
      <c r="HL9" s="11" t="n">
        <v>45841</v>
      </c>
      <c r="HM9" s="6" t="s">
        <f>=-102.68</f>
      </c>
      <c r="HN9" s="0" t="s">
        <v>310</v>
      </c>
      <c r="HO9" s="11" t="n">
        <v>45486</v>
      </c>
      <c r="HP9" s="6" t="s">
        <f>=-114.5</f>
      </c>
      <c r="HQ9" s="0" t="s">
        <v>311</v>
      </c>
      <c r="HR9" s="11" t="n">
        <v>45898</v>
      </c>
      <c r="HS9" s="6" t="s">
        <f>=-64.43</f>
      </c>
      <c r="HT9" s="0" t="s">
        <v>295</v>
      </c>
      <c r="HU9" s="11" t="n">
        <v>45701</v>
      </c>
      <c r="HV9" s="6" t="s">
        <f>=-156.5</f>
      </c>
      <c r="HW9" s="0" t="s">
        <v>436</v>
      </c>
      <c r="HX9" s="0"/>
      <c r="HY9" s="10" t="s">
        <f>=XIRR(HY2:HY8,HX2:HX8)</f>
      </c>
      <c r="HZ9" s="0"/>
      <c r="IA9" s="0"/>
      <c r="IB9" s="8" t="s">
        <f>=-SUM(IB2:IB7)</f>
      </c>
      <c r="IC9" s="0" t="s">
        <v>591</v>
      </c>
      <c r="ID9" s="11" t="n">
        <v>45504</v>
      </c>
      <c r="IE9" s="6" t="s">
        <f>=-353.5</f>
      </c>
      <c r="IF9" s="0" t="s">
        <v>342</v>
      </c>
      <c r="IG9" s="11" t="n">
        <v>46078</v>
      </c>
      <c r="IH9" s="8" t="s">
        <f>=-Портфель!J84</f>
      </c>
      <c r="II9" s="0" t="s">
        <v>589</v>
      </c>
      <c r="IJ9" s="11" t="n">
        <v>45636</v>
      </c>
      <c r="IK9" s="6" t="s">
        <f>=-16.56</f>
      </c>
      <c r="IL9" s="0" t="s">
        <v>410</v>
      </c>
      <c r="IM9" s="11" t="n">
        <v>45597</v>
      </c>
      <c r="IN9" s="6" t="s">
        <f>=-360.3</f>
      </c>
      <c r="IO9" s="0" t="s">
        <v>386</v>
      </c>
      <c r="IP9" s="11" t="n">
        <v>45512</v>
      </c>
      <c r="IQ9" s="6" t="s">
        <f>=-18.36</f>
      </c>
      <c r="IR9" s="0" t="s">
        <v>288</v>
      </c>
    </row>
    <row collapsed="false" customFormat="false" customHeight="false" hidden="false" ht="12.1" outlineLevel="0" r="10">
      <c r="A10" s="11" t="n">
        <v>45503</v>
      </c>
      <c r="B10" s="6" t="n">
        <v>5068.55</v>
      </c>
      <c r="C10" s="0" t="s">
        <v>587</v>
      </c>
      <c r="D10" s="0"/>
      <c r="E10" s="0"/>
      <c r="F10" s="0"/>
      <c r="G10" s="0"/>
      <c r="H10" s="8" t="s">
        <f>=-SUM(H2:H8)</f>
      </c>
      <c r="I10" s="0" t="s">
        <v>591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11" t="n">
        <v>46078</v>
      </c>
      <c r="AF10" s="8" t="s">
        <f>=-Портфель!J12</f>
      </c>
      <c r="AG10" s="0" t="s">
        <v>589</v>
      </c>
      <c r="AH10" s="0"/>
      <c r="AI10" s="0"/>
      <c r="AJ10" s="0"/>
      <c r="AK10" s="11" t="n">
        <v>45643</v>
      </c>
      <c r="AL10" s="6" t="n">
        <v>-447</v>
      </c>
      <c r="AM10" s="0" t="s">
        <v>416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8" t="s">
        <f>=-SUM(BA2:BA8)</f>
      </c>
      <c r="BB10" s="0" t="s">
        <v>591</v>
      </c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11" t="n">
        <v>45191</v>
      </c>
      <c r="BP10" s="6" t="n">
        <v>-56</v>
      </c>
      <c r="BQ10" s="0" t="s">
        <v>276</v>
      </c>
      <c r="BR10" s="0"/>
      <c r="BS10" s="10" t="s">
        <f>=XIRR(BS2:BS9,BR2:BR9)</f>
      </c>
      <c r="BT10" s="0"/>
      <c r="BU10" s="0"/>
      <c r="BV10" s="0"/>
      <c r="BW10" s="0"/>
      <c r="BX10" s="0"/>
      <c r="BY10" s="0"/>
      <c r="BZ10" s="0"/>
      <c r="CA10" s="0"/>
      <c r="CB10" s="8" t="s">
        <f>=-SUM(CB2:CB8)</f>
      </c>
      <c r="CC10" s="0" t="s">
        <v>591</v>
      </c>
      <c r="CD10" s="0"/>
      <c r="CE10" s="0"/>
      <c r="CF10" s="0"/>
      <c r="CG10" s="11" t="n">
        <v>46078</v>
      </c>
      <c r="CH10" s="8" t="s">
        <f>=-Портфель!J30</f>
      </c>
      <c r="CI10" s="0" t="s">
        <v>589</v>
      </c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11" t="n">
        <v>45547</v>
      </c>
      <c r="EA10" s="6" t="n">
        <v>3020.71</v>
      </c>
      <c r="EB10" s="0" t="s">
        <v>587</v>
      </c>
      <c r="EC10" s="11" t="n">
        <v>45527</v>
      </c>
      <c r="ED10" s="6" t="n">
        <v>3755.63</v>
      </c>
      <c r="EE10" s="0" t="s">
        <v>587</v>
      </c>
      <c r="EF10" s="11" t="n">
        <v>45790</v>
      </c>
      <c r="EG10" s="6" t="n">
        <v>374.88</v>
      </c>
      <c r="EH10" s="0" t="s">
        <v>587</v>
      </c>
      <c r="EI10" s="11" t="n">
        <v>44700</v>
      </c>
      <c r="EJ10" s="6" t="n">
        <v>-3674.88</v>
      </c>
      <c r="EK10" s="0" t="s">
        <v>588</v>
      </c>
      <c r="EL10" s="11" t="n">
        <v>44693</v>
      </c>
      <c r="EM10" s="6" t="n">
        <v>83.84</v>
      </c>
      <c r="EN10" s="0" t="s">
        <v>587</v>
      </c>
      <c r="EO10" s="11" t="n">
        <v>45812</v>
      </c>
      <c r="EP10" s="6" t="s">
        <f>=-2710.2</f>
      </c>
      <c r="EQ10" s="0" t="s">
        <v>403</v>
      </c>
      <c r="ER10" s="11" t="n">
        <v>46078</v>
      </c>
      <c r="ES10" s="8" t="s">
        <f>=-Портфель!J53</f>
      </c>
      <c r="ET10" s="0" t="s">
        <v>589</v>
      </c>
      <c r="EU10" s="0"/>
      <c r="EV10" s="8" t="s">
        <f>=-SUM(EV2:EV8)</f>
      </c>
      <c r="EW10" s="0" t="s">
        <v>591</v>
      </c>
      <c r="EX10" s="0"/>
      <c r="EY10" s="10" t="s">
        <f>=XIRR(EY2:EY9,EX2:EX9)</f>
      </c>
      <c r="EZ10" s="0"/>
      <c r="FA10" s="11" t="n">
        <v>45496</v>
      </c>
      <c r="FB10" s="6" t="s">
        <f>=4484.4</f>
      </c>
      <c r="FC10" s="0" t="s">
        <v>587</v>
      </c>
      <c r="FD10" s="0"/>
      <c r="FE10" s="10" t="s">
        <f>=XIRR(FE2:FE9,FD2:FD9)</f>
      </c>
      <c r="FF10" s="0"/>
      <c r="FG10" s="0"/>
      <c r="FH10" s="0"/>
      <c r="FI10" s="0"/>
      <c r="FJ10" s="11" t="n">
        <v>45917</v>
      </c>
      <c r="FK10" s="6" t="s">
        <f>=-987.94</f>
      </c>
      <c r="FL10" s="0" t="s">
        <v>366</v>
      </c>
      <c r="FM10" s="0"/>
      <c r="FN10" s="0"/>
      <c r="FO10" s="0"/>
      <c r="FP10" s="11" t="n">
        <v>45980</v>
      </c>
      <c r="FQ10" s="6" t="s">
        <f>=-532.04</f>
      </c>
      <c r="FR10" s="0" t="s">
        <v>352</v>
      </c>
      <c r="FS10" s="0"/>
      <c r="FT10" s="0"/>
      <c r="FU10" s="0"/>
      <c r="FV10" s="0"/>
      <c r="FW10" s="0"/>
      <c r="FX10" s="0"/>
      <c r="FY10" s="11" t="n">
        <v>45912</v>
      </c>
      <c r="FZ10" s="6" t="s">
        <f>=-310.6</f>
      </c>
      <c r="GA10" s="0" t="s">
        <v>365</v>
      </c>
      <c r="GB10" s="0"/>
      <c r="GC10" s="8" t="s">
        <f>=-SUM(GC2:GC8)</f>
      </c>
      <c r="GD10" s="0" t="s">
        <v>591</v>
      </c>
      <c r="GE10" s="11" t="n">
        <v>45496</v>
      </c>
      <c r="GF10" s="6" t="s">
        <f>=2712.7</f>
      </c>
      <c r="GG10" s="0" t="s">
        <v>587</v>
      </c>
      <c r="GH10" s="11" t="n">
        <v>45953</v>
      </c>
      <c r="GI10" s="6" t="s">
        <f>=-175.96</f>
      </c>
      <c r="GJ10" s="0" t="s">
        <v>382</v>
      </c>
      <c r="GK10" s="0"/>
      <c r="GL10" s="0"/>
      <c r="GM10" s="0"/>
      <c r="GN10" s="0"/>
      <c r="GO10" s="0"/>
      <c r="GP10" s="0"/>
      <c r="GQ10" s="0"/>
      <c r="GR10" s="0"/>
      <c r="GS10" s="0"/>
      <c r="GT10" s="11" t="n">
        <v>45798</v>
      </c>
      <c r="GU10" s="6" t="s">
        <f>=-148.8</f>
      </c>
      <c r="GV10" s="0" t="s">
        <v>351</v>
      </c>
      <c r="GW10" s="0"/>
      <c r="GX10" s="8" t="s">
        <f>=-SUM(GX2:GX8)</f>
      </c>
      <c r="GY10" s="0" t="s">
        <v>591</v>
      </c>
      <c r="GZ10" s="11" t="n">
        <v>45985</v>
      </c>
      <c r="HA10" s="6" t="s">
        <f>=-260.2</f>
      </c>
      <c r="HB10" s="0" t="s">
        <v>465</v>
      </c>
      <c r="HC10" s="0"/>
      <c r="HD10" s="0"/>
      <c r="HE10" s="0"/>
      <c r="HF10" s="0"/>
      <c r="HG10" s="0"/>
      <c r="HH10" s="0"/>
      <c r="HI10" s="0"/>
      <c r="HJ10" s="8" t="s">
        <f>=-SUM(HJ2:HJ8)</f>
      </c>
      <c r="HK10" s="0" t="s">
        <v>591</v>
      </c>
      <c r="HL10" s="11" t="n">
        <v>45932</v>
      </c>
      <c r="HM10" s="6" t="s">
        <f>=-102.68</f>
      </c>
      <c r="HN10" s="0" t="s">
        <v>310</v>
      </c>
      <c r="HO10" s="11" t="n">
        <v>45516</v>
      </c>
      <c r="HP10" s="6" t="s">
        <f>=-114.5</f>
      </c>
      <c r="HQ10" s="0" t="s">
        <v>311</v>
      </c>
      <c r="HR10" s="11" t="n">
        <v>45989</v>
      </c>
      <c r="HS10" s="6" t="s">
        <f>=-64.43</f>
      </c>
      <c r="HT10" s="0" t="s">
        <v>295</v>
      </c>
      <c r="HU10" s="11" t="n">
        <v>45792</v>
      </c>
      <c r="HV10" s="6" t="s">
        <f>=-138.55</f>
      </c>
      <c r="HW10" s="0" t="s">
        <v>462</v>
      </c>
      <c r="HX10" s="0"/>
      <c r="HY10" s="8" t="s">
        <f>=-SUM(HY2:HY8)</f>
      </c>
      <c r="HZ10" s="0" t="s">
        <v>591</v>
      </c>
      <c r="IA10" s="0"/>
      <c r="IB10" s="0"/>
      <c r="IC10" s="0"/>
      <c r="ID10" s="11" t="n">
        <v>45505</v>
      </c>
      <c r="IE10" s="6" t="s">
        <f>=-38.8</f>
      </c>
      <c r="IF10" s="0" t="s">
        <v>343</v>
      </c>
      <c r="IG10" s="0"/>
      <c r="IH10" s="10" t="s">
        <f>=XIRR(IH2:IH9,IG2:IG9)</f>
      </c>
      <c r="II10" s="0"/>
      <c r="IJ10" s="11" t="n">
        <v>45637</v>
      </c>
      <c r="IK10" s="6" t="s">
        <f>=-27.13</f>
      </c>
      <c r="IL10" s="0" t="s">
        <v>412</v>
      </c>
      <c r="IM10" s="11" t="n">
        <v>45598</v>
      </c>
      <c r="IN10" s="6" t="s">
        <f>=-43.7</f>
      </c>
      <c r="IO10" s="0" t="s">
        <v>388</v>
      </c>
      <c r="IP10" s="11" t="n">
        <v>45542</v>
      </c>
      <c r="IQ10" s="6" t="s">
        <f>=-18.36</f>
      </c>
      <c r="IR10" s="0" t="s">
        <v>288</v>
      </c>
    </row>
    <row collapsed="false" customFormat="false" customHeight="false" hidden="false" ht="12.1" outlineLevel="0" r="11">
      <c r="A11" s="11" t="n">
        <v>45594</v>
      </c>
      <c r="B11" s="6" t="n">
        <v>44345.45</v>
      </c>
      <c r="C11" s="0" t="s">
        <v>587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10" t="s">
        <f>=XIRR(AF2:AF10,AE2:AE10)</f>
      </c>
      <c r="AG11" s="0"/>
      <c r="AH11" s="0"/>
      <c r="AI11" s="0"/>
      <c r="AJ11" s="0"/>
      <c r="AK11" s="11" t="n">
        <v>45811</v>
      </c>
      <c r="AL11" s="6" t="n">
        <v>-471</v>
      </c>
      <c r="AM11" s="0" t="s">
        <v>472</v>
      </c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11" t="n">
        <v>45269</v>
      </c>
      <c r="BP11" s="6" t="n">
        <v>-66</v>
      </c>
      <c r="BQ11" s="0" t="s">
        <v>279</v>
      </c>
      <c r="BR11" s="0"/>
      <c r="BS11" s="8" t="s">
        <f>=-SUM(BS2:BS9)</f>
      </c>
      <c r="BT11" s="0" t="s">
        <v>591</v>
      </c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10" t="s">
        <f>=XIRR(CH2:CH10,CG2:CG10)</f>
      </c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11" t="n">
        <v>45551</v>
      </c>
      <c r="EA11" s="6" t="n">
        <v>15236.17</v>
      </c>
      <c r="EB11" s="0" t="s">
        <v>587</v>
      </c>
      <c r="EC11" s="11" t="n">
        <v>45537</v>
      </c>
      <c r="ED11" s="6" t="n">
        <v>487.55</v>
      </c>
      <c r="EE11" s="0" t="s">
        <v>587</v>
      </c>
      <c r="EF11" s="11" t="n">
        <v>46078</v>
      </c>
      <c r="EG11" s="8" t="s">
        <f>=-Портфель!J48</f>
      </c>
      <c r="EH11" s="0" t="s">
        <v>589</v>
      </c>
      <c r="EI11" s="11" t="n">
        <v>44705</v>
      </c>
      <c r="EJ11" s="6" t="n">
        <v>-2069.1</v>
      </c>
      <c r="EK11" s="0" t="s">
        <v>588</v>
      </c>
      <c r="EL11" s="11" t="n">
        <v>44706</v>
      </c>
      <c r="EM11" s="6" t="n">
        <v>566.29</v>
      </c>
      <c r="EN11" s="0" t="s">
        <v>587</v>
      </c>
      <c r="EO11" s="11" t="n">
        <v>45994</v>
      </c>
      <c r="EP11" s="6" t="s">
        <f>=-2710.2</f>
      </c>
      <c r="EQ11" s="0" t="s">
        <v>403</v>
      </c>
      <c r="ER11" s="0"/>
      <c r="ES11" s="10" t="s">
        <f>=XIRR(ES2:ES10,ER2:ER10)</f>
      </c>
      <c r="ET11" s="0"/>
      <c r="EU11" s="0"/>
      <c r="EV11" s="0"/>
      <c r="EW11" s="0"/>
      <c r="EX11" s="0"/>
      <c r="EY11" s="8" t="s">
        <f>=-SUM(EY2:EY9)</f>
      </c>
      <c r="EZ11" s="0" t="s">
        <v>591</v>
      </c>
      <c r="FA11" s="11" t="n">
        <v>45500</v>
      </c>
      <c r="FB11" s="6" t="s">
        <f>=-77.44</f>
      </c>
      <c r="FC11" s="0" t="s">
        <v>341</v>
      </c>
      <c r="FD11" s="0"/>
      <c r="FE11" s="8" t="s">
        <f>=-SUM(FE2:FE9)</f>
      </c>
      <c r="FF11" s="0" t="s">
        <v>591</v>
      </c>
      <c r="FG11" s="0"/>
      <c r="FH11" s="0"/>
      <c r="FI11" s="0"/>
      <c r="FJ11" s="11" t="n">
        <v>46078</v>
      </c>
      <c r="FK11" s="8" t="s">
        <f>=-Портфель!J59</f>
      </c>
      <c r="FL11" s="0" t="s">
        <v>589</v>
      </c>
      <c r="FM11" s="0"/>
      <c r="FN11" s="0"/>
      <c r="FO11" s="0"/>
      <c r="FP11" s="11" t="n">
        <v>46071</v>
      </c>
      <c r="FQ11" s="6" t="s">
        <f>=-532.04</f>
      </c>
      <c r="FR11" s="0" t="s">
        <v>352</v>
      </c>
      <c r="FS11" s="0"/>
      <c r="FT11" s="0"/>
      <c r="FU11" s="0"/>
      <c r="FV11" s="0"/>
      <c r="FW11" s="0"/>
      <c r="FX11" s="0"/>
      <c r="FY11" s="11" t="n">
        <v>46003</v>
      </c>
      <c r="FZ11" s="6" t="s">
        <f>=-310.6</f>
      </c>
      <c r="GA11" s="0" t="s">
        <v>365</v>
      </c>
      <c r="GB11" s="0"/>
      <c r="GC11" s="0"/>
      <c r="GD11" s="0"/>
      <c r="GE11" s="11" t="n">
        <v>45507</v>
      </c>
      <c r="GF11" s="6" t="s">
        <f>=-39.04</f>
      </c>
      <c r="GG11" s="0" t="s">
        <v>348</v>
      </c>
      <c r="GH11" s="11" t="n">
        <v>46044</v>
      </c>
      <c r="GI11" s="6" t="s">
        <f>=-175.96</f>
      </c>
      <c r="GJ11" s="0" t="s">
        <v>382</v>
      </c>
      <c r="GK11" s="0"/>
      <c r="GL11" s="0"/>
      <c r="GM11" s="0"/>
      <c r="GN11" s="0"/>
      <c r="GO11" s="0"/>
      <c r="GP11" s="0"/>
      <c r="GQ11" s="0"/>
      <c r="GR11" s="0"/>
      <c r="GS11" s="0"/>
      <c r="GT11" s="11" t="n">
        <v>45889</v>
      </c>
      <c r="GU11" s="6" t="s">
        <f>=-148.8</f>
      </c>
      <c r="GV11" s="0" t="s">
        <v>351</v>
      </c>
      <c r="GW11" s="0"/>
      <c r="GX11" s="0"/>
      <c r="GY11" s="0"/>
      <c r="GZ11" s="11" t="n">
        <v>46076</v>
      </c>
      <c r="HA11" s="6" t="s">
        <f>=-260.2</f>
      </c>
      <c r="HB11" s="0" t="s">
        <v>465</v>
      </c>
      <c r="HC11" s="0"/>
      <c r="HD11" s="0"/>
      <c r="HE11" s="0"/>
      <c r="HF11" s="0"/>
      <c r="HG11" s="0"/>
      <c r="HH11" s="0"/>
      <c r="HI11" s="0"/>
      <c r="HJ11" s="0"/>
      <c r="HK11" s="0"/>
      <c r="HL11" s="11" t="n">
        <v>46023</v>
      </c>
      <c r="HM11" s="6" t="s">
        <f>=-102.68</f>
      </c>
      <c r="HN11" s="0" t="s">
        <v>310</v>
      </c>
      <c r="HO11" s="11" t="n">
        <v>45546</v>
      </c>
      <c r="HP11" s="6" t="s">
        <f>=-114.5</f>
      </c>
      <c r="HQ11" s="0" t="s">
        <v>311</v>
      </c>
      <c r="HR11" s="11" t="n">
        <v>46078</v>
      </c>
      <c r="HS11" s="8" t="s">
        <f>=-Портфель!J79</f>
      </c>
      <c r="HT11" s="0" t="s">
        <v>589</v>
      </c>
      <c r="HU11" s="11" t="n">
        <v>45883</v>
      </c>
      <c r="HV11" s="6" t="s">
        <f>=-138.55</f>
      </c>
      <c r="HW11" s="0" t="s">
        <v>462</v>
      </c>
      <c r="HX11" s="0"/>
      <c r="HY11" s="0"/>
      <c r="HZ11" s="0"/>
      <c r="IA11" s="0"/>
      <c r="IB11" s="0"/>
      <c r="IC11" s="0"/>
      <c r="ID11" s="11" t="n">
        <v>45535</v>
      </c>
      <c r="IE11" s="6" t="s">
        <f>=-386.68</f>
      </c>
      <c r="IF11" s="0" t="s">
        <v>353</v>
      </c>
      <c r="IG11" s="0"/>
      <c r="IH11" s="8" t="s">
        <f>=-SUM(IH2:IH9)</f>
      </c>
      <c r="II11" s="0" t="s">
        <v>591</v>
      </c>
      <c r="IJ11" s="11" t="n">
        <v>45727</v>
      </c>
      <c r="IK11" s="6" t="s">
        <f>=-17.25</f>
      </c>
      <c r="IL11" s="0" t="s">
        <v>443</v>
      </c>
      <c r="IM11" s="11" t="n">
        <v>45627</v>
      </c>
      <c r="IN11" s="6" t="s">
        <f>=-363.7</f>
      </c>
      <c r="IO11" s="0" t="s">
        <v>398</v>
      </c>
      <c r="IP11" s="11" t="n">
        <v>45572</v>
      </c>
      <c r="IQ11" s="6" t="s">
        <f>=-18.36</f>
      </c>
      <c r="IR11" s="0" t="s">
        <v>288</v>
      </c>
    </row>
    <row collapsed="false" customFormat="false" customHeight="false" hidden="false" ht="12.1" outlineLevel="0" r="12">
      <c r="A12" s="11" t="n">
        <v>45623</v>
      </c>
      <c r="B12" s="6" t="n">
        <v>1873.1</v>
      </c>
      <c r="C12" s="0" t="s">
        <v>587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8" t="s">
        <f>=-SUM(AF2:AF10)</f>
      </c>
      <c r="AG12" s="0" t="s">
        <v>591</v>
      </c>
      <c r="AH12" s="0"/>
      <c r="AI12" s="0"/>
      <c r="AJ12" s="0"/>
      <c r="AK12" s="11" t="n">
        <v>46034</v>
      </c>
      <c r="AL12" s="6" t="n">
        <v>-345</v>
      </c>
      <c r="AM12" s="0" t="s">
        <v>571</v>
      </c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11" t="n">
        <v>45481</v>
      </c>
      <c r="BP12" s="6" t="n">
        <v>-35</v>
      </c>
      <c r="BQ12" s="0" t="s">
        <v>272</v>
      </c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8" t="s">
        <f>=-SUM(CH2:CH10)</f>
      </c>
      <c r="CI12" s="0" t="s">
        <v>591</v>
      </c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11" t="n">
        <v>45553</v>
      </c>
      <c r="EA12" s="6" t="n">
        <v>1578.55</v>
      </c>
      <c r="EB12" s="0" t="s">
        <v>587</v>
      </c>
      <c r="EC12" s="11" t="n">
        <v>45594</v>
      </c>
      <c r="ED12" s="6" t="n">
        <v>733.42</v>
      </c>
      <c r="EE12" s="0" t="s">
        <v>587</v>
      </c>
      <c r="EF12" s="0"/>
      <c r="EG12" s="10" t="s">
        <f>=XIRR(EG2:EG11,EF2:EF11)</f>
      </c>
      <c r="EH12" s="0"/>
      <c r="EI12" s="11" t="n">
        <v>44707</v>
      </c>
      <c r="EJ12" s="6" t="n">
        <v>2014.6</v>
      </c>
      <c r="EK12" s="0" t="s">
        <v>587</v>
      </c>
      <c r="EL12" s="11" t="n">
        <v>44722</v>
      </c>
      <c r="EM12" s="6" t="n">
        <v>183.72</v>
      </c>
      <c r="EN12" s="0" t="s">
        <v>587</v>
      </c>
      <c r="EO12" s="11" t="n">
        <v>46078</v>
      </c>
      <c r="EP12" s="8" t="s">
        <f>=-Портфель!J52</f>
      </c>
      <c r="EQ12" s="0" t="s">
        <v>589</v>
      </c>
      <c r="ER12" s="0"/>
      <c r="ES12" s="8" t="s">
        <f>=-SUM(ES2:ES10)</f>
      </c>
      <c r="ET12" s="0" t="s">
        <v>591</v>
      </c>
      <c r="EU12" s="0"/>
      <c r="EV12" s="0"/>
      <c r="EW12" s="0"/>
      <c r="EX12" s="0"/>
      <c r="EY12" s="0"/>
      <c r="EZ12" s="0"/>
      <c r="FA12" s="11" t="n">
        <v>45530</v>
      </c>
      <c r="FB12" s="6" t="s">
        <f>=-77.44</f>
      </c>
      <c r="FC12" s="0" t="s">
        <v>341</v>
      </c>
      <c r="FD12" s="0"/>
      <c r="FE12" s="0"/>
      <c r="FF12" s="0"/>
      <c r="FG12" s="0"/>
      <c r="FH12" s="0"/>
      <c r="FI12" s="0"/>
      <c r="FJ12" s="0"/>
      <c r="FK12" s="10" t="s">
        <f>=XIRR(FK2:FK11,FJ2:FJ11)</f>
      </c>
      <c r="FL12" s="0"/>
      <c r="FM12" s="0"/>
      <c r="FN12" s="0"/>
      <c r="FO12" s="0"/>
      <c r="FP12" s="11" t="n">
        <v>46078</v>
      </c>
      <c r="FQ12" s="8" t="s">
        <f>=-Портфель!J61</f>
      </c>
      <c r="FR12" s="0" t="s">
        <v>589</v>
      </c>
      <c r="FS12" s="0"/>
      <c r="FT12" s="0"/>
      <c r="FU12" s="0"/>
      <c r="FV12" s="0"/>
      <c r="FW12" s="0"/>
      <c r="FX12" s="0"/>
      <c r="FY12" s="11" t="n">
        <v>46078</v>
      </c>
      <c r="FZ12" s="8" t="s">
        <f>=-Портфель!J64</f>
      </c>
      <c r="GA12" s="0" t="s">
        <v>589</v>
      </c>
      <c r="GB12" s="0"/>
      <c r="GC12" s="0"/>
      <c r="GD12" s="0"/>
      <c r="GE12" s="11" t="n">
        <v>45509</v>
      </c>
      <c r="GF12" s="6" t="s">
        <f>=2752.28</f>
      </c>
      <c r="GG12" s="0" t="s">
        <v>587</v>
      </c>
      <c r="GH12" s="11" t="n">
        <v>46078</v>
      </c>
      <c r="GI12" s="8" t="s">
        <f>=-Портфель!J67</f>
      </c>
      <c r="GJ12" s="0" t="s">
        <v>589</v>
      </c>
      <c r="GK12" s="0"/>
      <c r="GL12" s="0"/>
      <c r="GM12" s="0"/>
      <c r="GN12" s="0"/>
      <c r="GO12" s="0"/>
      <c r="GP12" s="0"/>
      <c r="GQ12" s="0"/>
      <c r="GR12" s="0"/>
      <c r="GS12" s="0"/>
      <c r="GT12" s="11" t="n">
        <v>45980</v>
      </c>
      <c r="GU12" s="6" t="s">
        <f>=-148.8</f>
      </c>
      <c r="GV12" s="0" t="s">
        <v>351</v>
      </c>
      <c r="GW12" s="0"/>
      <c r="GX12" s="0"/>
      <c r="GY12" s="0"/>
      <c r="GZ12" s="11" t="n">
        <v>46078</v>
      </c>
      <c r="HA12" s="8" t="s">
        <f>=-Портфель!J73</f>
      </c>
      <c r="HB12" s="0" t="s">
        <v>589</v>
      </c>
      <c r="HC12" s="0"/>
      <c r="HD12" s="0"/>
      <c r="HE12" s="0"/>
      <c r="HF12" s="0"/>
      <c r="HG12" s="0"/>
      <c r="HH12" s="0"/>
      <c r="HI12" s="0"/>
      <c r="HJ12" s="0"/>
      <c r="HK12" s="0"/>
      <c r="HL12" s="11" t="n">
        <v>46078</v>
      </c>
      <c r="HM12" s="8" t="s">
        <f>=-Портфель!J77</f>
      </c>
      <c r="HN12" s="0" t="s">
        <v>589</v>
      </c>
      <c r="HO12" s="11" t="n">
        <v>45576</v>
      </c>
      <c r="HP12" s="6" t="s">
        <f>=-114.5</f>
      </c>
      <c r="HQ12" s="0" t="s">
        <v>311</v>
      </c>
      <c r="HR12" s="0"/>
      <c r="HS12" s="10" t="s">
        <f>=XIRR(HS2:HS11,HR2:HR11)</f>
      </c>
      <c r="HT12" s="0"/>
      <c r="HU12" s="11" t="n">
        <v>45973</v>
      </c>
      <c r="HV12" s="6" t="s">
        <f>=-500</f>
      </c>
      <c r="HW12" s="0" t="s">
        <v>391</v>
      </c>
      <c r="HX12" s="0"/>
      <c r="HY12" s="0"/>
      <c r="HZ12" s="0"/>
      <c r="IA12" s="0"/>
      <c r="IB12" s="0"/>
      <c r="IC12" s="0"/>
      <c r="ID12" s="11" t="n">
        <v>45536</v>
      </c>
      <c r="IE12" s="6" t="s">
        <f>=-36.42</f>
      </c>
      <c r="IF12" s="0" t="s">
        <v>354</v>
      </c>
      <c r="IG12" s="0"/>
      <c r="IH12" s="0"/>
      <c r="II12" s="0"/>
      <c r="IJ12" s="11" t="n">
        <v>45728</v>
      </c>
      <c r="IK12" s="6" t="s">
        <f>=-29.99</f>
      </c>
      <c r="IL12" s="0" t="s">
        <v>445</v>
      </c>
      <c r="IM12" s="11" t="n">
        <v>45628</v>
      </c>
      <c r="IN12" s="6" t="s">
        <f>=-38.8</f>
      </c>
      <c r="IO12" s="0" t="s">
        <v>400</v>
      </c>
      <c r="IP12" s="11" t="n">
        <v>45602</v>
      </c>
      <c r="IQ12" s="6" t="s">
        <f>=-18.36</f>
      </c>
      <c r="IR12" s="0" t="s">
        <v>288</v>
      </c>
    </row>
    <row collapsed="false" customFormat="false" customHeight="false" hidden="false" ht="12.1" outlineLevel="0" r="13">
      <c r="A13" s="11" t="n">
        <v>45667</v>
      </c>
      <c r="B13" s="6" t="n">
        <v>-3711.99</v>
      </c>
      <c r="C13" s="0" t="s">
        <v>426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46078</v>
      </c>
      <c r="AL13" s="8" t="s">
        <f>=-Портфель!J14</f>
      </c>
      <c r="AM13" s="0" t="s">
        <v>589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11" t="n">
        <v>45481</v>
      </c>
      <c r="BP13" s="6" t="n">
        <v>-35</v>
      </c>
      <c r="BQ13" s="0" t="s">
        <v>272</v>
      </c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11" t="n">
        <v>45567</v>
      </c>
      <c r="EA13" s="6" t="n">
        <v>289.09</v>
      </c>
      <c r="EB13" s="0" t="s">
        <v>587</v>
      </c>
      <c r="EC13" s="11" t="n">
        <v>45622</v>
      </c>
      <c r="ED13" s="6" t="n">
        <v>7073.12</v>
      </c>
      <c r="EE13" s="0" t="s">
        <v>587</v>
      </c>
      <c r="EF13" s="0"/>
      <c r="EG13" s="8" t="s">
        <f>=-SUM(EG2:EG11)</f>
      </c>
      <c r="EH13" s="0" t="s">
        <v>591</v>
      </c>
      <c r="EI13" s="11" t="n">
        <v>44712</v>
      </c>
      <c r="EJ13" s="6" t="n">
        <v>-921.6</v>
      </c>
      <c r="EK13" s="0" t="s">
        <v>588</v>
      </c>
      <c r="EL13" s="11" t="n">
        <v>44726</v>
      </c>
      <c r="EM13" s="6" t="n">
        <v>197.93</v>
      </c>
      <c r="EN13" s="0" t="s">
        <v>587</v>
      </c>
      <c r="EO13" s="0"/>
      <c r="EP13" s="10" t="s">
        <f>=XIRR(EP2:EP12,EO2:EO12)</f>
      </c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11" t="n">
        <v>45560</v>
      </c>
      <c r="FB13" s="6" t="s">
        <f>=-77.44</f>
      </c>
      <c r="FC13" s="0" t="s">
        <v>341</v>
      </c>
      <c r="FD13" s="0"/>
      <c r="FE13" s="0"/>
      <c r="FF13" s="0"/>
      <c r="FG13" s="0"/>
      <c r="FH13" s="0"/>
      <c r="FI13" s="0"/>
      <c r="FJ13" s="0"/>
      <c r="FK13" s="8" t="s">
        <f>=-SUM(FK2:FK11)</f>
      </c>
      <c r="FL13" s="0" t="s">
        <v>591</v>
      </c>
      <c r="FM13" s="0"/>
      <c r="FN13" s="0"/>
      <c r="FO13" s="0"/>
      <c r="FP13" s="0"/>
      <c r="FQ13" s="10" t="s">
        <f>=XIRR(FQ2:FQ12,FP2:FP12)</f>
      </c>
      <c r="FR13" s="0"/>
      <c r="FS13" s="0"/>
      <c r="FT13" s="0"/>
      <c r="FU13" s="0"/>
      <c r="FV13" s="0"/>
      <c r="FW13" s="0"/>
      <c r="FX13" s="0"/>
      <c r="FY13" s="0"/>
      <c r="FZ13" s="10" t="s">
        <f>=XIRR(FZ2:FZ12,FY2:FY12)</f>
      </c>
      <c r="GA13" s="0"/>
      <c r="GB13" s="0"/>
      <c r="GC13" s="0"/>
      <c r="GD13" s="0"/>
      <c r="GE13" s="11" t="n">
        <v>45537</v>
      </c>
      <c r="GF13" s="6" t="s">
        <f>=-68.82</f>
      </c>
      <c r="GG13" s="0" t="s">
        <v>357</v>
      </c>
      <c r="GH13" s="0"/>
      <c r="GI13" s="10" t="s">
        <f>=XIRR(GI2:GI12,GH2:GH12)</f>
      </c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11" t="n">
        <v>46071</v>
      </c>
      <c r="GU13" s="6" t="s">
        <f>=-148.8</f>
      </c>
      <c r="GV13" s="0" t="s">
        <v>351</v>
      </c>
      <c r="GW13" s="0"/>
      <c r="GX13" s="0"/>
      <c r="GY13" s="0"/>
      <c r="GZ13" s="0"/>
      <c r="HA13" s="10" t="s">
        <f>=XIRR(HA2:HA12,GZ2:GZ12)</f>
      </c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10" t="s">
        <f>=XIRR(HM2:HM12,HL2:HL12)</f>
      </c>
      <c r="HN13" s="0"/>
      <c r="HO13" s="11" t="n">
        <v>45605</v>
      </c>
      <c r="HP13" s="6" t="s">
        <f>=-400</f>
      </c>
      <c r="HQ13" s="0" t="s">
        <v>389</v>
      </c>
      <c r="HR13" s="0"/>
      <c r="HS13" s="8" t="s">
        <f>=-SUM(HS2:HS11)</f>
      </c>
      <c r="HT13" s="0" t="s">
        <v>591</v>
      </c>
      <c r="HU13" s="11" t="n">
        <v>45974</v>
      </c>
      <c r="HV13" s="6" t="s">
        <f>=-138.55</f>
      </c>
      <c r="HW13" s="0" t="s">
        <v>462</v>
      </c>
      <c r="HX13" s="0"/>
      <c r="HY13" s="0"/>
      <c r="HZ13" s="0"/>
      <c r="IA13" s="0"/>
      <c r="IB13" s="0"/>
      <c r="IC13" s="0"/>
      <c r="ID13" s="11" t="n">
        <v>45565</v>
      </c>
      <c r="IE13" s="6" t="s">
        <f>=-339.43</f>
      </c>
      <c r="IF13" s="0" t="s">
        <v>372</v>
      </c>
      <c r="IG13" s="0"/>
      <c r="IH13" s="0"/>
      <c r="II13" s="0"/>
      <c r="IJ13" s="11" t="n">
        <v>45818</v>
      </c>
      <c r="IK13" s="6" t="s">
        <f>=-17.38</f>
      </c>
      <c r="IL13" s="0" t="s">
        <v>479</v>
      </c>
      <c r="IM13" s="11" t="n">
        <v>45658</v>
      </c>
      <c r="IN13" s="6" t="s">
        <f>=-359.8</f>
      </c>
      <c r="IO13" s="0" t="s">
        <v>421</v>
      </c>
      <c r="IP13" s="11" t="n">
        <v>45632</v>
      </c>
      <c r="IQ13" s="6" t="s">
        <f>=-18.36</f>
      </c>
      <c r="IR13" s="0" t="s">
        <v>288</v>
      </c>
    </row>
    <row collapsed="false" customFormat="false" customHeight="false" hidden="false" ht="12.1" outlineLevel="0" r="14">
      <c r="A14" s="11" t="n">
        <v>45858</v>
      </c>
      <c r="B14" s="6" t="n">
        <v>-1494.56</v>
      </c>
      <c r="C14" s="0" t="s">
        <v>501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10" t="s">
        <f>=XIRR(AL2:AL13,AK2:AK13)</f>
      </c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11" t="n">
        <v>45571</v>
      </c>
      <c r="BP14" s="6" t="n">
        <v>-35</v>
      </c>
      <c r="BQ14" s="0" t="s">
        <v>272</v>
      </c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11" t="n">
        <v>45568</v>
      </c>
      <c r="EA14" s="6" t="n">
        <v>433.13</v>
      </c>
      <c r="EB14" s="0" t="s">
        <v>587</v>
      </c>
      <c r="EC14" s="11" t="n">
        <v>45636</v>
      </c>
      <c r="ED14" s="6" t="n">
        <v>479.54</v>
      </c>
      <c r="EE14" s="0" t="s">
        <v>587</v>
      </c>
      <c r="EF14" s="0"/>
      <c r="EG14" s="0"/>
      <c r="EH14" s="0"/>
      <c r="EI14" s="11" t="n">
        <v>44713</v>
      </c>
      <c r="EJ14" s="6" t="n">
        <v>-115.23</v>
      </c>
      <c r="EK14" s="0" t="s">
        <v>588</v>
      </c>
      <c r="EL14" s="11" t="n">
        <v>44893</v>
      </c>
      <c r="EM14" s="6" t="n">
        <v>-1981.2</v>
      </c>
      <c r="EN14" s="0" t="s">
        <v>588</v>
      </c>
      <c r="EO14" s="0"/>
      <c r="EP14" s="8" t="s">
        <f>=-SUM(EP2:EP12)</f>
      </c>
      <c r="EQ14" s="0" t="s">
        <v>591</v>
      </c>
      <c r="ER14" s="0"/>
      <c r="ES14" s="0"/>
      <c r="ET14" s="0"/>
      <c r="EU14" s="0"/>
      <c r="EV14" s="0"/>
      <c r="EW14" s="0"/>
      <c r="EX14" s="0"/>
      <c r="EY14" s="0"/>
      <c r="EZ14" s="0"/>
      <c r="FA14" s="11" t="n">
        <v>45590</v>
      </c>
      <c r="FB14" s="6" t="s">
        <f>=-77.44</f>
      </c>
      <c r="FC14" s="0" t="s">
        <v>341</v>
      </c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8" t="s">
        <f>=-SUM(FQ2:FQ12)</f>
      </c>
      <c r="FR14" s="0" t="s">
        <v>591</v>
      </c>
      <c r="FS14" s="0"/>
      <c r="FT14" s="0"/>
      <c r="FU14" s="0"/>
      <c r="FV14" s="0"/>
      <c r="FW14" s="0"/>
      <c r="FX14" s="0"/>
      <c r="FY14" s="0"/>
      <c r="FZ14" s="8" t="s">
        <f>=-SUM(FZ2:FZ12)</f>
      </c>
      <c r="GA14" s="0" t="s">
        <v>591</v>
      </c>
      <c r="GB14" s="0"/>
      <c r="GC14" s="0"/>
      <c r="GD14" s="0"/>
      <c r="GE14" s="11" t="n">
        <v>45567</v>
      </c>
      <c r="GF14" s="6" t="s">
        <f>=-68.82</f>
      </c>
      <c r="GG14" s="0" t="s">
        <v>357</v>
      </c>
      <c r="GH14" s="0"/>
      <c r="GI14" s="8" t="s">
        <f>=-SUM(GI2:GI12)</f>
      </c>
      <c r="GJ14" s="0" t="s">
        <v>591</v>
      </c>
      <c r="GK14" s="0"/>
      <c r="GL14" s="0"/>
      <c r="GM14" s="0"/>
      <c r="GN14" s="0"/>
      <c r="GO14" s="0"/>
      <c r="GP14" s="0"/>
      <c r="GQ14" s="0"/>
      <c r="GR14" s="0"/>
      <c r="GS14" s="0"/>
      <c r="GT14" s="11" t="n">
        <v>46078</v>
      </c>
      <c r="GU14" s="8" t="s">
        <f>=-Портфель!J71</f>
      </c>
      <c r="GV14" s="0" t="s">
        <v>589</v>
      </c>
      <c r="GW14" s="0"/>
      <c r="GX14" s="0"/>
      <c r="GY14" s="0"/>
      <c r="GZ14" s="0"/>
      <c r="HA14" s="8" t="s">
        <f>=-SUM(HA2:HA12)</f>
      </c>
      <c r="HB14" s="0" t="s">
        <v>591</v>
      </c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8" t="s">
        <f>=-SUM(HM2:HM12)</f>
      </c>
      <c r="HN14" s="0" t="s">
        <v>591</v>
      </c>
      <c r="HO14" s="11" t="n">
        <v>45606</v>
      </c>
      <c r="HP14" s="6" t="s">
        <f>=-114.5</f>
      </c>
      <c r="HQ14" s="0" t="s">
        <v>311</v>
      </c>
      <c r="HR14" s="0"/>
      <c r="HS14" s="0"/>
      <c r="HT14" s="0"/>
      <c r="HU14" s="11" t="n">
        <v>46064</v>
      </c>
      <c r="HV14" s="6" t="s">
        <f>=-500</f>
      </c>
      <c r="HW14" s="0" t="s">
        <v>391</v>
      </c>
      <c r="HX14" s="0"/>
      <c r="HY14" s="0"/>
      <c r="HZ14" s="0"/>
      <c r="IA14" s="0"/>
      <c r="IB14" s="0"/>
      <c r="IC14" s="0"/>
      <c r="ID14" s="11" t="n">
        <v>45566</v>
      </c>
      <c r="IE14" s="6" t="s">
        <f>=-33.5</f>
      </c>
      <c r="IF14" s="0" t="s">
        <v>374</v>
      </c>
      <c r="IG14" s="0"/>
      <c r="IH14" s="0"/>
      <c r="II14" s="0"/>
      <c r="IJ14" s="11" t="n">
        <v>45819</v>
      </c>
      <c r="IK14" s="6" t="s">
        <f>=-30.02</f>
      </c>
      <c r="IL14" s="0" t="s">
        <v>480</v>
      </c>
      <c r="IM14" s="11" t="n">
        <v>45659</v>
      </c>
      <c r="IN14" s="6" t="s">
        <f>=-36.9</f>
      </c>
      <c r="IO14" s="0" t="s">
        <v>422</v>
      </c>
      <c r="IP14" s="11" t="n">
        <v>45662</v>
      </c>
      <c r="IQ14" s="6" t="s">
        <f>=-18.36</f>
      </c>
      <c r="IR14" s="0" t="s">
        <v>288</v>
      </c>
    </row>
    <row collapsed="false" customFormat="false" customHeight="false" hidden="false" ht="12.1" outlineLevel="0" r="15">
      <c r="A15" s="11" t="n">
        <v>46034</v>
      </c>
      <c r="B15" s="6" t="n">
        <v>-1176.52</v>
      </c>
      <c r="C15" s="0" t="s">
        <v>570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8" t="s">
        <f>=-SUM(AL2:AL13)</f>
      </c>
      <c r="AM15" s="0" t="s">
        <v>591</v>
      </c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11" t="n">
        <v>45628</v>
      </c>
      <c r="BP15" s="6" t="n">
        <v>-70</v>
      </c>
      <c r="BQ15" s="0" t="s">
        <v>401</v>
      </c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11" t="n">
        <v>45573</v>
      </c>
      <c r="EA15" s="6" t="n">
        <v>144.38</v>
      </c>
      <c r="EB15" s="0" t="s">
        <v>587</v>
      </c>
      <c r="EC15" s="11" t="n">
        <v>45971</v>
      </c>
      <c r="ED15" s="6" t="n">
        <v>105941.18</v>
      </c>
      <c r="EE15" s="0" t="s">
        <v>587</v>
      </c>
      <c r="EF15" s="0"/>
      <c r="EG15" s="0"/>
      <c r="EH15" s="0"/>
      <c r="EI15" s="11" t="n">
        <v>44714</v>
      </c>
      <c r="EJ15" s="6" t="n">
        <v>-1095.64</v>
      </c>
      <c r="EK15" s="0" t="s">
        <v>588</v>
      </c>
      <c r="EL15" s="11" t="n">
        <v>44894</v>
      </c>
      <c r="EM15" s="6" t="n">
        <v>1235.31</v>
      </c>
      <c r="EN15" s="0" t="s">
        <v>587</v>
      </c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11" t="n">
        <v>45620</v>
      </c>
      <c r="FB15" s="6" t="s">
        <f>=-77.44</f>
      </c>
      <c r="FC15" s="0" t="s">
        <v>341</v>
      </c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11" t="n">
        <v>45597</v>
      </c>
      <c r="GF15" s="6" t="s">
        <f>=-68.82</f>
      </c>
      <c r="GG15" s="0" t="s">
        <v>357</v>
      </c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10" t="s">
        <f>=XIRR(GU2:GU14,GT2:GT14)</f>
      </c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11" t="n">
        <v>45635</v>
      </c>
      <c r="HP15" s="6" t="s">
        <f>=-400</f>
      </c>
      <c r="HQ15" s="0" t="s">
        <v>389</v>
      </c>
      <c r="HR15" s="0"/>
      <c r="HS15" s="0"/>
      <c r="HT15" s="0"/>
      <c r="HU15" s="11" t="n">
        <v>46065</v>
      </c>
      <c r="HV15" s="6" t="s">
        <f>=-121.6</f>
      </c>
      <c r="HW15" s="0" t="s">
        <v>581</v>
      </c>
      <c r="HX15" s="0"/>
      <c r="HY15" s="0"/>
      <c r="HZ15" s="0"/>
      <c r="IA15" s="0"/>
      <c r="IB15" s="0"/>
      <c r="IC15" s="0"/>
      <c r="ID15" s="11" t="n">
        <v>45596</v>
      </c>
      <c r="IE15" s="6" t="s">
        <f>=-328.37</f>
      </c>
      <c r="IF15" s="0" t="s">
        <v>384</v>
      </c>
      <c r="IG15" s="0"/>
      <c r="IH15" s="0"/>
      <c r="II15" s="0"/>
      <c r="IJ15" s="11" t="n">
        <v>45909</v>
      </c>
      <c r="IK15" s="6" t="s">
        <f>=-17.91</f>
      </c>
      <c r="IL15" s="0" t="s">
        <v>520</v>
      </c>
      <c r="IM15" s="11" t="n">
        <v>45689</v>
      </c>
      <c r="IN15" s="6" t="s">
        <f>=-329.6</f>
      </c>
      <c r="IO15" s="0" t="s">
        <v>432</v>
      </c>
      <c r="IP15" s="11" t="n">
        <v>45692</v>
      </c>
      <c r="IQ15" s="6" t="s">
        <f>=-18.36</f>
      </c>
      <c r="IR15" s="0" t="s">
        <v>288</v>
      </c>
    </row>
    <row collapsed="false" customFormat="false" customHeight="false" hidden="false" ht="12.1" outlineLevel="0" r="16">
      <c r="A16" s="11" t="n">
        <v>46078</v>
      </c>
      <c r="B16" s="8" t="s">
        <f>=-Портфель!J2</f>
      </c>
      <c r="C16" s="0" t="s">
        <v>589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11" t="n">
        <v>45845</v>
      </c>
      <c r="BP16" s="6" t="n">
        <v>-35</v>
      </c>
      <c r="BQ16" s="0" t="s">
        <v>272</v>
      </c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11" t="n">
        <v>45574</v>
      </c>
      <c r="EA16" s="6" t="n">
        <v>144.42</v>
      </c>
      <c r="EB16" s="0" t="s">
        <v>587</v>
      </c>
      <c r="EC16" s="11" t="n">
        <v>45973</v>
      </c>
      <c r="ED16" s="6" t="n">
        <v>10118.62</v>
      </c>
      <c r="EE16" s="0" t="s">
        <v>587</v>
      </c>
      <c r="EF16" s="0"/>
      <c r="EG16" s="0"/>
      <c r="EH16" s="0"/>
      <c r="EI16" s="11" t="n">
        <v>44726</v>
      </c>
      <c r="EJ16" s="6" t="n">
        <v>1526.58</v>
      </c>
      <c r="EK16" s="0" t="s">
        <v>587</v>
      </c>
      <c r="EL16" s="11" t="n">
        <v>44895</v>
      </c>
      <c r="EM16" s="6" t="n">
        <v>1453.23</v>
      </c>
      <c r="EN16" s="0" t="s">
        <v>587</v>
      </c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11" t="n">
        <v>45650</v>
      </c>
      <c r="FB16" s="6" t="s">
        <f>=-77.44</f>
      </c>
      <c r="FC16" s="0" t="s">
        <v>341</v>
      </c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11" t="n">
        <v>45627</v>
      </c>
      <c r="GF16" s="6" t="s">
        <f>=-68.82</f>
      </c>
      <c r="GG16" s="0" t="s">
        <v>357</v>
      </c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8" t="s">
        <f>=-SUM(GU2:GU14)</f>
      </c>
      <c r="GV16" s="0" t="s">
        <v>591</v>
      </c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11" t="n">
        <v>45636</v>
      </c>
      <c r="HP16" s="6" t="s">
        <f>=-110.2</f>
      </c>
      <c r="HQ16" s="0" t="s">
        <v>411</v>
      </c>
      <c r="HR16" s="0"/>
      <c r="HS16" s="0"/>
      <c r="HT16" s="0"/>
      <c r="HU16" s="11" t="n">
        <v>46078</v>
      </c>
      <c r="HV16" s="8" t="s">
        <f>=-Портфель!J80</f>
      </c>
      <c r="HW16" s="0" t="s">
        <v>589</v>
      </c>
      <c r="HX16" s="0"/>
      <c r="HY16" s="0"/>
      <c r="HZ16" s="0"/>
      <c r="IA16" s="0"/>
      <c r="IB16" s="0"/>
      <c r="IC16" s="0"/>
      <c r="ID16" s="11" t="n">
        <v>45597</v>
      </c>
      <c r="IE16" s="6" t="s">
        <f>=-32.45</f>
      </c>
      <c r="IF16" s="0" t="s">
        <v>387</v>
      </c>
      <c r="IG16" s="0"/>
      <c r="IH16" s="0"/>
      <c r="II16" s="0"/>
      <c r="IJ16" s="11" t="n">
        <v>45910</v>
      </c>
      <c r="IK16" s="6" t="s">
        <f>=-29.05</f>
      </c>
      <c r="IL16" s="0" t="s">
        <v>521</v>
      </c>
      <c r="IM16" s="11" t="n">
        <v>45690</v>
      </c>
      <c r="IN16" s="6" t="s">
        <f>=-34.6</f>
      </c>
      <c r="IO16" s="0" t="s">
        <v>433</v>
      </c>
      <c r="IP16" s="11" t="n">
        <v>45722</v>
      </c>
      <c r="IQ16" s="6" t="s">
        <f>=-18.36</f>
      </c>
      <c r="IR16" s="0" t="s">
        <v>288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11" t="n">
        <v>46078</v>
      </c>
      <c r="BP17" s="8" t="s">
        <f>=-Портфель!J24</f>
      </c>
      <c r="BQ17" s="0" t="s">
        <v>589</v>
      </c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11" t="n">
        <v>45628</v>
      </c>
      <c r="EA17" s="6" t="n">
        <v>283.29</v>
      </c>
      <c r="EB17" s="0" t="s">
        <v>587</v>
      </c>
      <c r="EC17" s="11" t="n">
        <v>45974</v>
      </c>
      <c r="ED17" s="6" t="n">
        <v>389.18</v>
      </c>
      <c r="EE17" s="0" t="s">
        <v>587</v>
      </c>
      <c r="EF17" s="0"/>
      <c r="EG17" s="0"/>
      <c r="EH17" s="0"/>
      <c r="EI17" s="11" t="n">
        <v>44727</v>
      </c>
      <c r="EJ17" s="6" t="n">
        <v>-694.03</v>
      </c>
      <c r="EK17" s="0" t="s">
        <v>588</v>
      </c>
      <c r="EL17" s="11" t="n">
        <v>44930</v>
      </c>
      <c r="EM17" s="6" t="n">
        <v>-325.85</v>
      </c>
      <c r="EN17" s="0" t="s">
        <v>588</v>
      </c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11" t="n">
        <v>45680</v>
      </c>
      <c r="FB17" s="6" t="s">
        <f>=-77.44</f>
      </c>
      <c r="FC17" s="0" t="s">
        <v>341</v>
      </c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11" t="n">
        <v>45657</v>
      </c>
      <c r="GF17" s="6" t="s">
        <f>=-68.82</f>
      </c>
      <c r="GG17" s="0" t="s">
        <v>357</v>
      </c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11" t="n">
        <v>45665</v>
      </c>
      <c r="HP17" s="6" t="s">
        <f>=-400</f>
      </c>
      <c r="HQ17" s="0" t="s">
        <v>389</v>
      </c>
      <c r="HR17" s="0"/>
      <c r="HS17" s="0"/>
      <c r="HT17" s="0"/>
      <c r="HU17" s="0"/>
      <c r="HV17" s="10" t="s">
        <f>=XIRR(HV2:HV16,HU2:HU16)</f>
      </c>
      <c r="HW17" s="0"/>
      <c r="HX17" s="0"/>
      <c r="HY17" s="0"/>
      <c r="HZ17" s="0"/>
      <c r="IA17" s="0"/>
      <c r="IB17" s="0"/>
      <c r="IC17" s="0"/>
      <c r="ID17" s="11" t="n">
        <v>45626</v>
      </c>
      <c r="IE17" s="6" t="s">
        <f>=-318.64</f>
      </c>
      <c r="IF17" s="0" t="s">
        <v>397</v>
      </c>
      <c r="IG17" s="0"/>
      <c r="IH17" s="0"/>
      <c r="II17" s="0"/>
      <c r="IJ17" s="11" t="n">
        <v>46000</v>
      </c>
      <c r="IK17" s="6" t="s">
        <f>=-18.64</f>
      </c>
      <c r="IL17" s="0" t="s">
        <v>556</v>
      </c>
      <c r="IM17" s="11" t="n">
        <v>45717</v>
      </c>
      <c r="IN17" s="6" t="s">
        <f>=-306.6</f>
      </c>
      <c r="IO17" s="0" t="s">
        <v>439</v>
      </c>
      <c r="IP17" s="11" t="n">
        <v>45752</v>
      </c>
      <c r="IQ17" s="6" t="s">
        <f>=-18.36</f>
      </c>
      <c r="IR17" s="0" t="s">
        <v>288</v>
      </c>
    </row>
    <row collapsed="false" customFormat="false" customHeight="false" hidden="false" ht="12.1" outlineLevel="0" r="18">
      <c r="A18" s="0"/>
      <c r="B18" s="8" t="s">
        <f>=-SUM(B2:B16)</f>
      </c>
      <c r="C18" s="0" t="s">
        <v>591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10" t="s">
        <f>=XIRR(BP2:BP17,BO2:BO17)</f>
      </c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11" t="n">
        <v>45701</v>
      </c>
      <c r="EA18" s="6" t="n">
        <v>463.28</v>
      </c>
      <c r="EB18" s="0" t="s">
        <v>587</v>
      </c>
      <c r="EC18" s="11" t="n">
        <v>46078</v>
      </c>
      <c r="ED18" s="8" t="s">
        <f>=-Портфель!J47</f>
      </c>
      <c r="EE18" s="0" t="s">
        <v>589</v>
      </c>
      <c r="EF18" s="0"/>
      <c r="EG18" s="0"/>
      <c r="EH18" s="0"/>
      <c r="EI18" s="11" t="n">
        <v>44727</v>
      </c>
      <c r="EJ18" s="6" t="n">
        <v>23.14</v>
      </c>
      <c r="EK18" s="0" t="s">
        <v>587</v>
      </c>
      <c r="EL18" s="11" t="n">
        <v>45272</v>
      </c>
      <c r="EM18" s="6" t="n">
        <v>5893.77</v>
      </c>
      <c r="EN18" s="0" t="s">
        <v>587</v>
      </c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11" t="n">
        <v>45710</v>
      </c>
      <c r="FB18" s="6" t="s">
        <f>=-77.44</f>
      </c>
      <c r="FC18" s="0" t="s">
        <v>341</v>
      </c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11" t="n">
        <v>45687</v>
      </c>
      <c r="GF18" s="6" t="s">
        <f>=-68.82</f>
      </c>
      <c r="GG18" s="0" t="s">
        <v>357</v>
      </c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11" t="n">
        <v>45666</v>
      </c>
      <c r="HP18" s="6" t="s">
        <f>=-105</f>
      </c>
      <c r="HQ18" s="0" t="s">
        <v>424</v>
      </c>
      <c r="HR18" s="0"/>
      <c r="HS18" s="0"/>
      <c r="HT18" s="0"/>
      <c r="HU18" s="0"/>
      <c r="HV18" s="8" t="s">
        <f>=-SUM(HV2:HV16)</f>
      </c>
      <c r="HW18" s="0" t="s">
        <v>591</v>
      </c>
      <c r="HX18" s="0"/>
      <c r="HY18" s="0"/>
      <c r="HZ18" s="0"/>
      <c r="IA18" s="0"/>
      <c r="IB18" s="0"/>
      <c r="IC18" s="0"/>
      <c r="ID18" s="11" t="n">
        <v>45627</v>
      </c>
      <c r="IE18" s="6" t="s">
        <f>=-30.09</f>
      </c>
      <c r="IF18" s="0" t="s">
        <v>399</v>
      </c>
      <c r="IG18" s="0"/>
      <c r="IH18" s="0"/>
      <c r="II18" s="0"/>
      <c r="IJ18" s="11" t="n">
        <v>46001</v>
      </c>
      <c r="IK18" s="6" t="s">
        <f>=-23.77</f>
      </c>
      <c r="IL18" s="0" t="s">
        <v>557</v>
      </c>
      <c r="IM18" s="11" t="n">
        <v>45718</v>
      </c>
      <c r="IN18" s="6" t="s">
        <f>=-29</f>
      </c>
      <c r="IO18" s="0" t="s">
        <v>440</v>
      </c>
      <c r="IP18" s="11" t="n">
        <v>45781</v>
      </c>
      <c r="IQ18" s="6" t="s">
        <f>=-2000</f>
      </c>
      <c r="IR18" s="0" t="s">
        <v>460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8" t="s">
        <f>=-SUM(BP2:BP17)</f>
      </c>
      <c r="BQ19" s="0" t="s">
        <v>591</v>
      </c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11" t="n">
        <v>45749</v>
      </c>
      <c r="EA19" s="6" t="n">
        <v>159.55</v>
      </c>
      <c r="EB19" s="0" t="s">
        <v>587</v>
      </c>
      <c r="EC19" s="0"/>
      <c r="ED19" s="10" t="s">
        <f>=XIRR(ED2:ED18,EC2:EC18)</f>
      </c>
      <c r="EE19" s="0"/>
      <c r="EF19" s="0"/>
      <c r="EG19" s="0"/>
      <c r="EH19" s="0"/>
      <c r="EI19" s="11" t="n">
        <v>44734</v>
      </c>
      <c r="EJ19" s="6" t="n">
        <v>-451.93</v>
      </c>
      <c r="EK19" s="0" t="s">
        <v>588</v>
      </c>
      <c r="EL19" s="11" t="n">
        <v>45327</v>
      </c>
      <c r="EM19" s="6" t="n">
        <v>905.98</v>
      </c>
      <c r="EN19" s="0" t="s">
        <v>587</v>
      </c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11" t="n">
        <v>45740</v>
      </c>
      <c r="FB19" s="6" t="s">
        <f>=-77.44</f>
      </c>
      <c r="FC19" s="0" t="s">
        <v>341</v>
      </c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11" t="n">
        <v>45717</v>
      </c>
      <c r="GF19" s="6" t="s">
        <f>=-68.82</f>
      </c>
      <c r="GG19" s="0" t="s">
        <v>357</v>
      </c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11" t="n">
        <v>45695</v>
      </c>
      <c r="HP19" s="6" t="s">
        <f>=-400</f>
      </c>
      <c r="HQ19" s="0" t="s">
        <v>389</v>
      </c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11" t="n">
        <v>45657</v>
      </c>
      <c r="IE19" s="6" t="s">
        <f>=-330.96</f>
      </c>
      <c r="IF19" s="0" t="s">
        <v>419</v>
      </c>
      <c r="IG19" s="0"/>
      <c r="IH19" s="0"/>
      <c r="II19" s="0"/>
      <c r="IJ19" s="11" t="n">
        <v>46078</v>
      </c>
      <c r="IK19" s="8" t="s">
        <f>=-Портфель!J85</f>
      </c>
      <c r="IL19" s="0" t="s">
        <v>589</v>
      </c>
      <c r="IM19" s="11" t="n">
        <v>45748</v>
      </c>
      <c r="IN19" s="6" t="s">
        <f>=-301.7</f>
      </c>
      <c r="IO19" s="0" t="s">
        <v>450</v>
      </c>
      <c r="IP19" s="11" t="n">
        <v>45782</v>
      </c>
      <c r="IQ19" s="6" t="s">
        <f>=-18.36</f>
      </c>
      <c r="IR19" s="0" t="s">
        <v>288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11" t="n">
        <v>46014</v>
      </c>
      <c r="EA20" s="6" t="n">
        <v>1887.18</v>
      </c>
      <c r="EB20" s="0" t="s">
        <v>587</v>
      </c>
      <c r="EC20" s="0"/>
      <c r="ED20" s="8" t="s">
        <f>=-SUM(ED2:ED18)</f>
      </c>
      <c r="EE20" s="0" t="s">
        <v>591</v>
      </c>
      <c r="EF20" s="0"/>
      <c r="EG20" s="0"/>
      <c r="EH20" s="0"/>
      <c r="EI20" s="11" t="n">
        <v>44739</v>
      </c>
      <c r="EJ20" s="6" t="n">
        <v>174</v>
      </c>
      <c r="EK20" s="0" t="s">
        <v>587</v>
      </c>
      <c r="EL20" s="11" t="n">
        <v>45454</v>
      </c>
      <c r="EM20" s="6" t="n">
        <v>10069.82</v>
      </c>
      <c r="EN20" s="0" t="s">
        <v>587</v>
      </c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11" t="n">
        <v>45770</v>
      </c>
      <c r="FB20" s="6" t="s">
        <f>=-77.44</f>
      </c>
      <c r="FC20" s="0" t="s">
        <v>341</v>
      </c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11" t="n">
        <v>45747</v>
      </c>
      <c r="GF20" s="6" t="s">
        <f>=-68.82</f>
      </c>
      <c r="GG20" s="0" t="s">
        <v>357</v>
      </c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11" t="n">
        <v>45696</v>
      </c>
      <c r="HP20" s="6" t="s">
        <f>=-100.7</f>
      </c>
      <c r="HQ20" s="0" t="s">
        <v>435</v>
      </c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11" t="n">
        <v>45658</v>
      </c>
      <c r="IE20" s="6" t="s">
        <f>=-29.11</f>
      </c>
      <c r="IF20" s="0" t="s">
        <v>420</v>
      </c>
      <c r="IG20" s="0"/>
      <c r="IH20" s="0"/>
      <c r="II20" s="0"/>
      <c r="IJ20" s="0"/>
      <c r="IK20" s="10" t="s">
        <f>=XIRR(IK2:IK19,IJ2:IJ19)</f>
      </c>
      <c r="IL20" s="0"/>
      <c r="IM20" s="11" t="n">
        <v>45749</v>
      </c>
      <c r="IN20" s="6" t="s">
        <f>=-29.6</f>
      </c>
      <c r="IO20" s="0" t="s">
        <v>452</v>
      </c>
      <c r="IP20" s="11" t="n">
        <v>45931</v>
      </c>
      <c r="IQ20" s="6" t="s">
        <f>=-420.92</f>
      </c>
      <c r="IR20" s="0" t="s">
        <v>588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11" t="n">
        <v>46015</v>
      </c>
      <c r="EA21" s="6" t="n">
        <v>97011.2</v>
      </c>
      <c r="EB21" s="0" t="s">
        <v>587</v>
      </c>
      <c r="EC21" s="0"/>
      <c r="ED21" s="0"/>
      <c r="EE21" s="0"/>
      <c r="EF21" s="0"/>
      <c r="EG21" s="0"/>
      <c r="EH21" s="0"/>
      <c r="EI21" s="11" t="n">
        <v>44740</v>
      </c>
      <c r="EJ21" s="6" t="n">
        <v>-754.07</v>
      </c>
      <c r="EK21" s="0" t="s">
        <v>588</v>
      </c>
      <c r="EL21" s="11" t="n">
        <v>45742</v>
      </c>
      <c r="EM21" s="6" t="n">
        <v>668.05</v>
      </c>
      <c r="EN21" s="0" t="s">
        <v>587</v>
      </c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11" t="n">
        <v>45800</v>
      </c>
      <c r="FB21" s="6" t="s">
        <f>=-77.44</f>
      </c>
      <c r="FC21" s="0" t="s">
        <v>341</v>
      </c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11" t="n">
        <v>45777</v>
      </c>
      <c r="GF21" s="6" t="s">
        <f>=-68.82</f>
      </c>
      <c r="GG21" s="0" t="s">
        <v>357</v>
      </c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11" t="n">
        <v>45725</v>
      </c>
      <c r="HP21" s="6" t="s">
        <f>=-400</f>
      </c>
      <c r="HQ21" s="0" t="s">
        <v>389</v>
      </c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11" t="n">
        <v>45688</v>
      </c>
      <c r="IE21" s="6" t="s">
        <f>=-297.99</f>
      </c>
      <c r="IF21" s="0" t="s">
        <v>430</v>
      </c>
      <c r="IG21" s="0"/>
      <c r="IH21" s="0"/>
      <c r="II21" s="0"/>
      <c r="IJ21" s="0"/>
      <c r="IK21" s="8" t="s">
        <f>=-SUM(IK2:IK19)</f>
      </c>
      <c r="IL21" s="0" t="s">
        <v>591</v>
      </c>
      <c r="IM21" s="11" t="n">
        <v>45778</v>
      </c>
      <c r="IN21" s="6" t="s">
        <f>=-309</f>
      </c>
      <c r="IO21" s="0" t="s">
        <v>458</v>
      </c>
      <c r="IP21" s="11" t="n">
        <v>46023</v>
      </c>
      <c r="IQ21" s="6" t="s">
        <f>=1.2</f>
      </c>
      <c r="IR21" s="0" t="s">
        <v>564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11" t="n">
        <v>46049</v>
      </c>
      <c r="EA22" s="6" t="n">
        <v>769.2</v>
      </c>
      <c r="EB22" s="0" t="s">
        <v>587</v>
      </c>
      <c r="EC22" s="0"/>
      <c r="ED22" s="0"/>
      <c r="EE22" s="0"/>
      <c r="EF22" s="0"/>
      <c r="EG22" s="0"/>
      <c r="EH22" s="0"/>
      <c r="EI22" s="11" t="n">
        <v>44740</v>
      </c>
      <c r="EJ22" s="6" t="n">
        <v>40.61</v>
      </c>
      <c r="EK22" s="0" t="s">
        <v>587</v>
      </c>
      <c r="EL22" s="11" t="n">
        <v>45757</v>
      </c>
      <c r="EM22" s="6" t="n">
        <v>2398.17</v>
      </c>
      <c r="EN22" s="0" t="s">
        <v>587</v>
      </c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11" t="n">
        <v>45830</v>
      </c>
      <c r="FB22" s="6" t="s">
        <f>=-77.44</f>
      </c>
      <c r="FC22" s="0" t="s">
        <v>341</v>
      </c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11" t="n">
        <v>45807</v>
      </c>
      <c r="GF22" s="6" t="s">
        <f>=-68.82</f>
      </c>
      <c r="GG22" s="0" t="s">
        <v>357</v>
      </c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11" t="n">
        <v>45726</v>
      </c>
      <c r="HP22" s="6" t="s">
        <f>=-96.5</f>
      </c>
      <c r="HQ22" s="0" t="s">
        <v>442</v>
      </c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11" t="n">
        <v>45689</v>
      </c>
      <c r="IE22" s="6" t="s">
        <f>=-26.87</f>
      </c>
      <c r="IF22" s="0" t="s">
        <v>431</v>
      </c>
      <c r="IG22" s="0"/>
      <c r="IH22" s="0"/>
      <c r="II22" s="0"/>
      <c r="IJ22" s="0"/>
      <c r="IK22" s="0"/>
      <c r="IL22" s="0"/>
      <c r="IM22" s="11" t="n">
        <v>45779</v>
      </c>
      <c r="IN22" s="6" t="s">
        <f>=-25.8</f>
      </c>
      <c r="IO22" s="0" t="s">
        <v>459</v>
      </c>
      <c r="IP22" s="11" t="n">
        <v>46053</v>
      </c>
      <c r="IQ22" s="8" t="s">
        <f>=-Портфель!J87</f>
      </c>
      <c r="IR22" s="0" t="s">
        <v>574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11" t="n">
        <v>46069</v>
      </c>
      <c r="EA23" s="6" t="n">
        <v>100136.05</v>
      </c>
      <c r="EB23" s="0" t="s">
        <v>587</v>
      </c>
      <c r="EC23" s="0"/>
      <c r="ED23" s="0"/>
      <c r="EE23" s="0"/>
      <c r="EF23" s="0"/>
      <c r="EG23" s="0"/>
      <c r="EH23" s="0"/>
      <c r="EI23" s="11" t="n">
        <v>44742</v>
      </c>
      <c r="EJ23" s="6" t="n">
        <v>-98.71</v>
      </c>
      <c r="EK23" s="0" t="s">
        <v>588</v>
      </c>
      <c r="EL23" s="11" t="n">
        <v>45789</v>
      </c>
      <c r="EM23" s="6" t="n">
        <v>75.01</v>
      </c>
      <c r="EN23" s="0" t="s">
        <v>587</v>
      </c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11" t="n">
        <v>45860</v>
      </c>
      <c r="FB23" s="6" t="s">
        <f>=-77.44</f>
      </c>
      <c r="FC23" s="0" t="s">
        <v>341</v>
      </c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11" t="n">
        <v>45837</v>
      </c>
      <c r="GF23" s="6" t="s">
        <f>=-68.82</f>
      </c>
      <c r="GG23" s="0" t="s">
        <v>357</v>
      </c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11" t="n">
        <v>45755</v>
      </c>
      <c r="HP23" s="6" t="s">
        <f>=-400</f>
      </c>
      <c r="HQ23" s="0" t="s">
        <v>389</v>
      </c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11" t="n">
        <v>45716</v>
      </c>
      <c r="IE23" s="6" t="s">
        <f>=-273.49</f>
      </c>
      <c r="IF23" s="0" t="s">
        <v>437</v>
      </c>
      <c r="IG23" s="0"/>
      <c r="IH23" s="0"/>
      <c r="II23" s="0"/>
      <c r="IJ23" s="0"/>
      <c r="IK23" s="0"/>
      <c r="IL23" s="0"/>
      <c r="IM23" s="11" t="n">
        <v>45809</v>
      </c>
      <c r="IN23" s="6" t="s">
        <f>=-298</f>
      </c>
      <c r="IO23" s="0" t="s">
        <v>469</v>
      </c>
      <c r="IP23" s="0"/>
      <c r="IQ23" s="10" t="s">
        <f>=XIRR(IQ2:IQ22,IP2:IP22)</f>
      </c>
      <c r="IR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11" t="n">
        <v>46078</v>
      </c>
      <c r="EA24" s="8" t="s">
        <f>=-Портфель!J46</f>
      </c>
      <c r="EB24" s="0" t="s">
        <v>589</v>
      </c>
      <c r="EC24" s="0"/>
      <c r="ED24" s="0"/>
      <c r="EE24" s="0"/>
      <c r="EF24" s="0"/>
      <c r="EG24" s="0"/>
      <c r="EH24" s="0"/>
      <c r="EI24" s="11" t="n">
        <v>44749</v>
      </c>
      <c r="EJ24" s="6" t="n">
        <v>407.23</v>
      </c>
      <c r="EK24" s="0" t="s">
        <v>587</v>
      </c>
      <c r="EL24" s="11" t="n">
        <v>45803</v>
      </c>
      <c r="EM24" s="6" t="n">
        <v>40.71</v>
      </c>
      <c r="EN24" s="0" t="s">
        <v>587</v>
      </c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11" t="n">
        <v>45890</v>
      </c>
      <c r="FB24" s="6" t="s">
        <f>=-77.44</f>
      </c>
      <c r="FC24" s="0" t="s">
        <v>341</v>
      </c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11" t="n">
        <v>45867</v>
      </c>
      <c r="GF24" s="6" t="s">
        <f>=-68.82</f>
      </c>
      <c r="GG24" s="0" t="s">
        <v>357</v>
      </c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11" t="n">
        <v>45756</v>
      </c>
      <c r="HP24" s="6" t="s">
        <f>=-91.2</f>
      </c>
      <c r="HQ24" s="0" t="s">
        <v>453</v>
      </c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11" t="n">
        <v>45717</v>
      </c>
      <c r="IE24" s="6" t="s">
        <f>=-23.04</f>
      </c>
      <c r="IF24" s="0" t="s">
        <v>438</v>
      </c>
      <c r="IG24" s="0"/>
      <c r="IH24" s="0"/>
      <c r="II24" s="0"/>
      <c r="IJ24" s="0"/>
      <c r="IK24" s="0"/>
      <c r="IL24" s="0"/>
      <c r="IM24" s="11" t="n">
        <v>45810</v>
      </c>
      <c r="IN24" s="6" t="s">
        <f>=-23.9</f>
      </c>
      <c r="IO24" s="0" t="s">
        <v>471</v>
      </c>
      <c r="IP24" s="0"/>
      <c r="IQ24" s="8" t="s">
        <f>=-SUM(IQ2:IQ22)</f>
      </c>
      <c r="IR24" s="0" t="s">
        <v>591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10" t="s">
        <f>=XIRR(EA2:EA24,DZ2:DZ24)</f>
      </c>
      <c r="EB25" s="0"/>
      <c r="EC25" s="0"/>
      <c r="ED25" s="0"/>
      <c r="EE25" s="0"/>
      <c r="EF25" s="0"/>
      <c r="EG25" s="0"/>
      <c r="EH25" s="0"/>
      <c r="EI25" s="11" t="n">
        <v>44756</v>
      </c>
      <c r="EJ25" s="6" t="n">
        <v>675.93</v>
      </c>
      <c r="EK25" s="0" t="s">
        <v>587</v>
      </c>
      <c r="EL25" s="11" t="n">
        <v>45817</v>
      </c>
      <c r="EM25" s="6" t="n">
        <v>426.12</v>
      </c>
      <c r="EN25" s="0" t="s">
        <v>587</v>
      </c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11" t="n">
        <v>45901</v>
      </c>
      <c r="FB25" s="6" t="s">
        <f>=21275.18</f>
      </c>
      <c r="FC25" s="0" t="s">
        <v>587</v>
      </c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11" t="n">
        <v>45897</v>
      </c>
      <c r="GF25" s="6" t="s">
        <f>=-68.82</f>
      </c>
      <c r="GG25" s="0" t="s">
        <v>357</v>
      </c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11" t="n">
        <v>45785</v>
      </c>
      <c r="HP25" s="6" t="s">
        <f>=-400</f>
      </c>
      <c r="HQ25" s="0" t="s">
        <v>389</v>
      </c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11" t="n">
        <v>45747</v>
      </c>
      <c r="IE25" s="6" t="s">
        <f>=-255.92</f>
      </c>
      <c r="IF25" s="0" t="s">
        <v>448</v>
      </c>
      <c r="IG25" s="0"/>
      <c r="IH25" s="0"/>
      <c r="II25" s="0"/>
      <c r="IJ25" s="0"/>
      <c r="IK25" s="0"/>
      <c r="IL25" s="0"/>
      <c r="IM25" s="11" t="n">
        <v>45839</v>
      </c>
      <c r="IN25" s="6" t="s">
        <f>=-296.1</f>
      </c>
      <c r="IO25" s="0" t="s">
        <v>484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8" t="s">
        <f>=-SUM(EA2:EA24)</f>
      </c>
      <c r="EB26" s="0" t="s">
        <v>591</v>
      </c>
      <c r="EC26" s="0"/>
      <c r="ED26" s="0"/>
      <c r="EE26" s="0"/>
      <c r="EF26" s="0"/>
      <c r="EG26" s="0"/>
      <c r="EH26" s="0"/>
      <c r="EI26" s="11" t="n">
        <v>44757</v>
      </c>
      <c r="EJ26" s="6" t="n">
        <v>990.68</v>
      </c>
      <c r="EK26" s="0" t="s">
        <v>587</v>
      </c>
      <c r="EL26" s="11" t="n">
        <v>45840</v>
      </c>
      <c r="EM26" s="6" t="n">
        <v>210.92</v>
      </c>
      <c r="EN26" s="0" t="s">
        <v>587</v>
      </c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11" t="n">
        <v>45920</v>
      </c>
      <c r="FB26" s="6" t="s">
        <f>=-301.58</f>
      </c>
      <c r="FC26" s="0" t="s">
        <v>523</v>
      </c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11" t="n">
        <v>45927</v>
      </c>
      <c r="GF26" s="6" t="s">
        <f>=-68.82</f>
      </c>
      <c r="GG26" s="0" t="s">
        <v>357</v>
      </c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11" t="n">
        <v>45786</v>
      </c>
      <c r="HP26" s="6" t="s">
        <f>=-86.9</f>
      </c>
      <c r="HQ26" s="0" t="s">
        <v>461</v>
      </c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11" t="n">
        <v>45748</v>
      </c>
      <c r="IE26" s="6" t="s">
        <f>=-22.95</f>
      </c>
      <c r="IF26" s="0" t="s">
        <v>451</v>
      </c>
      <c r="IG26" s="0"/>
      <c r="IH26" s="0"/>
      <c r="II26" s="0"/>
      <c r="IJ26" s="0"/>
      <c r="IK26" s="0"/>
      <c r="IL26" s="0"/>
      <c r="IM26" s="11" t="n">
        <v>45840</v>
      </c>
      <c r="IN26" s="6" t="s">
        <f>=-21.3</f>
      </c>
      <c r="IO26" s="0" t="s">
        <v>485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11" t="n">
        <v>44761</v>
      </c>
      <c r="EJ27" s="6" t="n">
        <v>-752.04</v>
      </c>
      <c r="EK27" s="0" t="s">
        <v>588</v>
      </c>
      <c r="EL27" s="11" t="n">
        <v>45846</v>
      </c>
      <c r="EM27" s="6" t="n">
        <v>729.45</v>
      </c>
      <c r="EN27" s="0" t="s">
        <v>587</v>
      </c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11" t="n">
        <v>45950</v>
      </c>
      <c r="FB27" s="6" t="s">
        <f>=-301.58</f>
      </c>
      <c r="FC27" s="0" t="s">
        <v>523</v>
      </c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11" t="n">
        <v>45957</v>
      </c>
      <c r="GF27" s="6" t="s">
        <f>=-68.82</f>
      </c>
      <c r="GG27" s="0" t="s">
        <v>357</v>
      </c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11" t="n">
        <v>45815</v>
      </c>
      <c r="HP27" s="6" t="s">
        <f>=-400</f>
      </c>
      <c r="HQ27" s="0" t="s">
        <v>389</v>
      </c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11" t="n">
        <v>45777</v>
      </c>
      <c r="IE27" s="6" t="s">
        <f>=-253.82</f>
      </c>
      <c r="IF27" s="0" t="s">
        <v>456</v>
      </c>
      <c r="IG27" s="0"/>
      <c r="IH27" s="0"/>
      <c r="II27" s="0"/>
      <c r="IJ27" s="0"/>
      <c r="IK27" s="0"/>
      <c r="IL27" s="0"/>
      <c r="IM27" s="11" t="n">
        <v>45870</v>
      </c>
      <c r="IN27" s="6" t="s">
        <f>=-281.9</f>
      </c>
      <c r="IO27" s="0" t="s">
        <v>506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11" t="n">
        <v>44763</v>
      </c>
      <c r="EJ28" s="6" t="n">
        <v>-630.23</v>
      </c>
      <c r="EK28" s="0" t="s">
        <v>588</v>
      </c>
      <c r="EL28" s="11" t="n">
        <v>46078</v>
      </c>
      <c r="EM28" s="8" t="s">
        <f>=-Портфель!J50</f>
      </c>
      <c r="EN28" s="0" t="s">
        <v>589</v>
      </c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11" t="n">
        <v>45971</v>
      </c>
      <c r="FB28" s="6" t="s">
        <f>=9503.65</f>
      </c>
      <c r="FC28" s="0" t="s">
        <v>587</v>
      </c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11" t="n">
        <v>45971</v>
      </c>
      <c r="GF28" s="6" t="s">
        <f>=8961.64</f>
      </c>
      <c r="GG28" s="0" t="s">
        <v>587</v>
      </c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11" t="n">
        <v>45816</v>
      </c>
      <c r="HP28" s="6" t="s">
        <f>=-82.7</f>
      </c>
      <c r="HQ28" s="0" t="s">
        <v>475</v>
      </c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11" t="n">
        <v>45778</v>
      </c>
      <c r="IE28" s="6" t="s">
        <f>=-21.43</f>
      </c>
      <c r="IF28" s="0" t="s">
        <v>457</v>
      </c>
      <c r="IG28" s="0"/>
      <c r="IH28" s="0"/>
      <c r="II28" s="0"/>
      <c r="IJ28" s="0"/>
      <c r="IK28" s="0"/>
      <c r="IL28" s="0"/>
      <c r="IM28" s="11" t="n">
        <v>45871</v>
      </c>
      <c r="IN28" s="6" t="s">
        <f>=-19.4</f>
      </c>
      <c r="IO28" s="0" t="s">
        <v>507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11" t="n">
        <v>44763</v>
      </c>
      <c r="EJ29" s="6" t="n">
        <v>35.02</v>
      </c>
      <c r="EK29" s="0" t="s">
        <v>587</v>
      </c>
      <c r="EL29" s="0"/>
      <c r="EM29" s="10" t="s">
        <f>=XIRR(EM2:EM28,EL2:EL28)</f>
      </c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11" t="n">
        <v>45980</v>
      </c>
      <c r="FB29" s="6" t="s">
        <f>=-398.38</f>
      </c>
      <c r="FC29" s="0" t="s">
        <v>547</v>
      </c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11" t="n">
        <v>45987</v>
      </c>
      <c r="GF29" s="6" t="s">
        <f>=-166.42</f>
      </c>
      <c r="GG29" s="0" t="s">
        <v>548</v>
      </c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11" t="n">
        <v>45845</v>
      </c>
      <c r="HP29" s="6" t="s">
        <f>=-400</f>
      </c>
      <c r="HQ29" s="0" t="s">
        <v>389</v>
      </c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11" t="n">
        <v>45808</v>
      </c>
      <c r="IE29" s="6" t="s">
        <f>=-244.72</f>
      </c>
      <c r="IF29" s="0" t="s">
        <v>467</v>
      </c>
      <c r="IG29" s="0"/>
      <c r="IH29" s="0"/>
      <c r="II29" s="0"/>
      <c r="IJ29" s="0"/>
      <c r="IK29" s="0"/>
      <c r="IL29" s="0"/>
      <c r="IM29" s="11" t="n">
        <v>45901</v>
      </c>
      <c r="IN29" s="6" t="s">
        <f>=-279.8</f>
      </c>
      <c r="IO29" s="0" t="s">
        <v>515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11" t="n">
        <v>44767</v>
      </c>
      <c r="EJ30" s="6" t="n">
        <v>-210.17</v>
      </c>
      <c r="EK30" s="0" t="s">
        <v>588</v>
      </c>
      <c r="EL30" s="0"/>
      <c r="EM30" s="8" t="s">
        <f>=-SUM(EM2:EM28)</f>
      </c>
      <c r="EN30" s="0" t="s">
        <v>591</v>
      </c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11" t="n">
        <v>46010</v>
      </c>
      <c r="FB30" s="6" t="s">
        <f>=-398.38</f>
      </c>
      <c r="FC30" s="0" t="s">
        <v>547</v>
      </c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11" t="n">
        <v>46017</v>
      </c>
      <c r="GF30" s="6" t="s">
        <f>=-166.42</f>
      </c>
      <c r="GG30" s="0" t="s">
        <v>548</v>
      </c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11" t="n">
        <v>45846</v>
      </c>
      <c r="HP30" s="6" t="s">
        <f>=-77.4</f>
      </c>
      <c r="HQ30" s="0" t="s">
        <v>488</v>
      </c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11" t="n">
        <v>45809</v>
      </c>
      <c r="IE30" s="6" t="s">
        <f>=-20.52</f>
      </c>
      <c r="IF30" s="0" t="s">
        <v>468</v>
      </c>
      <c r="IG30" s="0"/>
      <c r="IH30" s="0"/>
      <c r="II30" s="0"/>
      <c r="IJ30" s="0"/>
      <c r="IK30" s="0"/>
      <c r="IL30" s="0"/>
      <c r="IM30" s="11" t="n">
        <v>45902</v>
      </c>
      <c r="IN30" s="6" t="s">
        <f>=-16.7</f>
      </c>
      <c r="IO30" s="0" t="s">
        <v>517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11" t="n">
        <v>44767</v>
      </c>
      <c r="EJ31" s="6" t="n">
        <v>221.87</v>
      </c>
      <c r="EK31" s="0" t="s">
        <v>587</v>
      </c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11" t="n">
        <v>46040</v>
      </c>
      <c r="FB31" s="6" t="s">
        <f>=-398.38</f>
      </c>
      <c r="FC31" s="0" t="s">
        <v>547</v>
      </c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11" t="n">
        <v>46047</v>
      </c>
      <c r="GF31" s="6" t="s">
        <f>=-166.42</f>
      </c>
      <c r="GG31" s="0" t="s">
        <v>548</v>
      </c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11" t="n">
        <v>45875</v>
      </c>
      <c r="HP31" s="6" t="s">
        <f>=-400</f>
      </c>
      <c r="HQ31" s="0" t="s">
        <v>389</v>
      </c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11" t="n">
        <v>45838</v>
      </c>
      <c r="IE31" s="6" t="s">
        <f>=-227.15</f>
      </c>
      <c r="IF31" s="0" t="s">
        <v>482</v>
      </c>
      <c r="IG31" s="0"/>
      <c r="IH31" s="0"/>
      <c r="II31" s="0"/>
      <c r="IJ31" s="0"/>
      <c r="IK31" s="0"/>
      <c r="IL31" s="0"/>
      <c r="IM31" s="11" t="n">
        <v>45931</v>
      </c>
      <c r="IN31" s="6" t="s">
        <f>=-256.3</f>
      </c>
      <c r="IO31" s="0" t="s">
        <v>529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11" t="n">
        <v>44768</v>
      </c>
      <c r="EJ32" s="6" t="n">
        <v>21.02</v>
      </c>
      <c r="EK32" s="0" t="s">
        <v>587</v>
      </c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11" t="n">
        <v>46070</v>
      </c>
      <c r="FB32" s="6" t="s">
        <f>=-398.38</f>
      </c>
      <c r="FC32" s="0" t="s">
        <v>547</v>
      </c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11" t="n">
        <v>46077</v>
      </c>
      <c r="GF32" s="6" t="s">
        <f>=-166.42</f>
      </c>
      <c r="GG32" s="0" t="s">
        <v>548</v>
      </c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11" t="n">
        <v>45876</v>
      </c>
      <c r="HP32" s="6" t="s">
        <f>=-73.2</f>
      </c>
      <c r="HQ32" s="0" t="s">
        <v>510</v>
      </c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11" t="n">
        <v>45839</v>
      </c>
      <c r="IE32" s="6" t="s">
        <f>=-18.14</f>
      </c>
      <c r="IF32" s="0" t="s">
        <v>483</v>
      </c>
      <c r="IG32" s="0"/>
      <c r="IH32" s="0"/>
      <c r="II32" s="0"/>
      <c r="IJ32" s="0"/>
      <c r="IK32" s="0"/>
      <c r="IL32" s="0"/>
      <c r="IM32" s="11" t="n">
        <v>45932</v>
      </c>
      <c r="IN32" s="6" t="s">
        <f>=-14.6</f>
      </c>
      <c r="IO32" s="0" t="s">
        <v>531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11" t="n">
        <v>44771</v>
      </c>
      <c r="EJ33" s="6" t="n">
        <v>-374.08</v>
      </c>
      <c r="EK33" s="0" t="s">
        <v>588</v>
      </c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11" t="n">
        <v>46078</v>
      </c>
      <c r="FB33" s="8" t="s">
        <f>=-Портфель!J56</f>
      </c>
      <c r="FC33" s="0" t="s">
        <v>589</v>
      </c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11" t="n">
        <v>46078</v>
      </c>
      <c r="GF33" s="8" t="s">
        <f>=-Портфель!J66</f>
      </c>
      <c r="GG33" s="0" t="s">
        <v>589</v>
      </c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11" t="n">
        <v>45905</v>
      </c>
      <c r="HP33" s="6" t="s">
        <f>=-400</f>
      </c>
      <c r="HQ33" s="0" t="s">
        <v>389</v>
      </c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11" t="n">
        <v>45869</v>
      </c>
      <c r="IE33" s="6" t="s">
        <f>=-229.6</f>
      </c>
      <c r="IF33" s="0" t="s">
        <v>503</v>
      </c>
      <c r="IG33" s="0"/>
      <c r="IH33" s="0"/>
      <c r="II33" s="0"/>
      <c r="IJ33" s="0"/>
      <c r="IK33" s="0"/>
      <c r="IL33" s="0"/>
      <c r="IM33" s="11" t="n">
        <v>45962</v>
      </c>
      <c r="IN33" s="6" t="s">
        <f>=-280.6</f>
      </c>
      <c r="IO33" s="0" t="s">
        <v>537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11" t="n">
        <v>44771</v>
      </c>
      <c r="EJ34" s="6" t="n">
        <v>23.38</v>
      </c>
      <c r="EK34" s="0" t="s">
        <v>587</v>
      </c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10" t="s">
        <f>=XIRR(FB2:FB33,FA2:FA33)</f>
      </c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10" t="s">
        <f>=XIRR(GF2:GF33,GE2:GE33)</f>
      </c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11" t="n">
        <v>45906</v>
      </c>
      <c r="HP34" s="6" t="s">
        <f>=-68.9</f>
      </c>
      <c r="HQ34" s="0" t="s">
        <v>519</v>
      </c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11" t="n">
        <v>45870</v>
      </c>
      <c r="IE34" s="6" t="s">
        <f>=-17.3</f>
      </c>
      <c r="IF34" s="0" t="s">
        <v>504</v>
      </c>
      <c r="IG34" s="0"/>
      <c r="IH34" s="0"/>
      <c r="II34" s="0"/>
      <c r="IJ34" s="0"/>
      <c r="IK34" s="0"/>
      <c r="IL34" s="0"/>
      <c r="IM34" s="11" t="n">
        <v>45963</v>
      </c>
      <c r="IN34" s="6" t="s">
        <f>=-12.7</f>
      </c>
      <c r="IO34" s="0" t="s">
        <v>540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11" t="n">
        <v>44774</v>
      </c>
      <c r="EJ35" s="6" t="n">
        <v>-327.46</v>
      </c>
      <c r="EK35" s="0" t="s">
        <v>588</v>
      </c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8" t="s">
        <f>=-SUM(FB2:FB33)</f>
      </c>
      <c r="FC35" s="0" t="s">
        <v>591</v>
      </c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8" t="s">
        <f>=-SUM(GF2:GF33)</f>
      </c>
      <c r="GG35" s="0" t="s">
        <v>591</v>
      </c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11" t="n">
        <v>45935</v>
      </c>
      <c r="HP35" s="6" t="s">
        <f>=-400</f>
      </c>
      <c r="HQ35" s="0" t="s">
        <v>389</v>
      </c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11" t="n">
        <v>45900</v>
      </c>
      <c r="IE35" s="6" t="s">
        <f>=-221.48</f>
      </c>
      <c r="IF35" s="0" t="s">
        <v>513</v>
      </c>
      <c r="IG35" s="0"/>
      <c r="IH35" s="0"/>
      <c r="II35" s="0"/>
      <c r="IJ35" s="0"/>
      <c r="IK35" s="0"/>
      <c r="IL35" s="0"/>
      <c r="IM35" s="11" t="n">
        <v>45992</v>
      </c>
      <c r="IN35" s="6" t="s">
        <f>=-257.9</f>
      </c>
      <c r="IO35" s="0" t="s">
        <v>551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11" t="n">
        <v>44776</v>
      </c>
      <c r="EJ36" s="6" t="n">
        <v>-70.2</v>
      </c>
      <c r="EK36" s="0" t="s">
        <v>588</v>
      </c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11" t="n">
        <v>45936</v>
      </c>
      <c r="HP36" s="6" t="s">
        <f>=-63.6</f>
      </c>
      <c r="HQ36" s="0" t="s">
        <v>533</v>
      </c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11" t="n">
        <v>45901</v>
      </c>
      <c r="IE36" s="6" t="s">
        <f>=-16.69</f>
      </c>
      <c r="IF36" s="0" t="s">
        <v>514</v>
      </c>
      <c r="IG36" s="0"/>
      <c r="IH36" s="0"/>
      <c r="II36" s="0"/>
      <c r="IJ36" s="0"/>
      <c r="IK36" s="0"/>
      <c r="IL36" s="0"/>
      <c r="IM36" s="11" t="n">
        <v>45993</v>
      </c>
      <c r="IN36" s="6" t="s">
        <f>=-9.7</f>
      </c>
      <c r="IO36" s="0" t="s">
        <v>553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11" t="n">
        <v>44777</v>
      </c>
      <c r="EJ37" s="6" t="n">
        <v>110.05</v>
      </c>
      <c r="EK37" s="0" t="s">
        <v>587</v>
      </c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11" t="n">
        <v>45965</v>
      </c>
      <c r="HP37" s="6" t="s">
        <f>=-400</f>
      </c>
      <c r="HQ37" s="0" t="s">
        <v>389</v>
      </c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11" t="n">
        <v>45930</v>
      </c>
      <c r="IE37" s="6" t="s">
        <f>=-202.09</f>
      </c>
      <c r="IF37" s="0" t="s">
        <v>527</v>
      </c>
      <c r="IG37" s="0"/>
      <c r="IH37" s="0"/>
      <c r="II37" s="0"/>
      <c r="IJ37" s="0"/>
      <c r="IK37" s="0"/>
      <c r="IL37" s="0"/>
      <c r="IM37" s="11" t="n">
        <v>46023</v>
      </c>
      <c r="IN37" s="6" t="s">
        <f>=-238.2</f>
      </c>
      <c r="IO37" s="0" t="s">
        <v>565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11" t="n">
        <v>44788</v>
      </c>
      <c r="EJ38" s="6" t="n">
        <v>205.25</v>
      </c>
      <c r="EK38" s="0" t="s">
        <v>587</v>
      </c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11" t="n">
        <v>45966</v>
      </c>
      <c r="HP38" s="6" t="s">
        <f>=-59.4</f>
      </c>
      <c r="HQ38" s="0" t="s">
        <v>541</v>
      </c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11" t="n">
        <v>45931</v>
      </c>
      <c r="IE38" s="6" t="s">
        <f>=-14.66</f>
      </c>
      <c r="IF38" s="0" t="s">
        <v>528</v>
      </c>
      <c r="IG38" s="0"/>
      <c r="IH38" s="0"/>
      <c r="II38" s="0"/>
      <c r="IJ38" s="0"/>
      <c r="IK38" s="0"/>
      <c r="IL38" s="0"/>
      <c r="IM38" s="11" t="n">
        <v>46024</v>
      </c>
      <c r="IN38" s="6" t="s">
        <f>=-8.7</f>
      </c>
      <c r="IO38" s="0" t="s">
        <v>568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11" t="n">
        <v>44789</v>
      </c>
      <c r="EJ39" s="6" t="n">
        <v>1155.41</v>
      </c>
      <c r="EK39" s="0" t="s">
        <v>587</v>
      </c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11" t="n">
        <v>45995</v>
      </c>
      <c r="HP39" s="6" t="s">
        <f>=-400</f>
      </c>
      <c r="HQ39" s="0" t="s">
        <v>389</v>
      </c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11" t="n">
        <v>45961</v>
      </c>
      <c r="IE39" s="6" t="s">
        <f>=-219.17</f>
      </c>
      <c r="IF39" s="0" t="s">
        <v>536</v>
      </c>
      <c r="IG39" s="0"/>
      <c r="IH39" s="0"/>
      <c r="II39" s="0"/>
      <c r="IJ39" s="0"/>
      <c r="IK39" s="0"/>
      <c r="IL39" s="0"/>
      <c r="IM39" s="11" t="n">
        <v>46054</v>
      </c>
      <c r="IN39" s="6" t="s">
        <f>=-256.2</f>
      </c>
      <c r="IO39" s="0" t="s">
        <v>577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11" t="n">
        <v>44791</v>
      </c>
      <c r="EJ40" s="6" t="n">
        <v>-610.48</v>
      </c>
      <c r="EK40" s="0" t="s">
        <v>588</v>
      </c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11" t="n">
        <v>45996</v>
      </c>
      <c r="HP40" s="6" t="s">
        <f>=-55.1</f>
      </c>
      <c r="HQ40" s="0" t="s">
        <v>555</v>
      </c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11" t="n">
        <v>45962</v>
      </c>
      <c r="IE40" s="6" t="s">
        <f>=-13.82</f>
      </c>
      <c r="IF40" s="0" t="s">
        <v>538</v>
      </c>
      <c r="IG40" s="0"/>
      <c r="IH40" s="0"/>
      <c r="II40" s="0"/>
      <c r="IJ40" s="0"/>
      <c r="IK40" s="0"/>
      <c r="IL40" s="0"/>
      <c r="IM40" s="11" t="n">
        <v>46055</v>
      </c>
      <c r="IN40" s="6" t="s">
        <f>=-6.5</f>
      </c>
      <c r="IO40" s="0" t="s">
        <v>578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11" t="n">
        <v>44792</v>
      </c>
      <c r="EJ41" s="6" t="n">
        <v>-877.05</v>
      </c>
      <c r="EK41" s="0" t="s">
        <v>588</v>
      </c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11" t="n">
        <v>46025</v>
      </c>
      <c r="HP41" s="6" t="s">
        <f>=-400</f>
      </c>
      <c r="HQ41" s="0" t="s">
        <v>389</v>
      </c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11" t="n">
        <v>45991</v>
      </c>
      <c r="IE41" s="6" t="s">
        <f>=-209.86</f>
      </c>
      <c r="IF41" s="0" t="s">
        <v>549</v>
      </c>
      <c r="IG41" s="0"/>
      <c r="IH41" s="0"/>
      <c r="II41" s="0"/>
      <c r="IJ41" s="0"/>
      <c r="IK41" s="0"/>
      <c r="IL41" s="0"/>
      <c r="IM41" s="11" t="n">
        <v>46078</v>
      </c>
      <c r="IN41" s="8" t="s">
        <f>=-Портфель!J86</f>
      </c>
      <c r="IO41" s="0" t="s">
        <v>589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11" t="n">
        <v>44795</v>
      </c>
      <c r="EJ42" s="6" t="n">
        <v>70.47</v>
      </c>
      <c r="EK42" s="0" t="s">
        <v>587</v>
      </c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11" t="n">
        <v>46026</v>
      </c>
      <c r="HP42" s="6" t="s">
        <f>=-49.9</f>
      </c>
      <c r="HQ42" s="0" t="s">
        <v>569</v>
      </c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11" t="n">
        <v>45992</v>
      </c>
      <c r="IE42" s="6" t="s">
        <f>=-11.86</f>
      </c>
      <c r="IF42" s="0" t="s">
        <v>550</v>
      </c>
      <c r="IG42" s="0"/>
      <c r="IH42" s="0"/>
      <c r="II42" s="0"/>
      <c r="IJ42" s="0"/>
      <c r="IK42" s="0"/>
      <c r="IL42" s="0"/>
      <c r="IM42" s="0"/>
      <c r="IN42" s="10" t="s">
        <f>=XIRR(IN2:IN41,IM2:IM41)</f>
      </c>
      <c r="IO42" s="0"/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11" t="n">
        <v>44798</v>
      </c>
      <c r="EJ43" s="6" t="n">
        <v>-58.78</v>
      </c>
      <c r="EK43" s="0" t="s">
        <v>588</v>
      </c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11" t="n">
        <v>46055</v>
      </c>
      <c r="HP43" s="6" t="s">
        <f>=-400</f>
      </c>
      <c r="HQ43" s="0" t="s">
        <v>389</v>
      </c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11" t="n">
        <v>46022</v>
      </c>
      <c r="IE43" s="6" t="s">
        <f>=-200.76</f>
      </c>
      <c r="IF43" s="0" t="s">
        <v>563</v>
      </c>
      <c r="IG43" s="0"/>
      <c r="IH43" s="0"/>
      <c r="II43" s="0"/>
      <c r="IJ43" s="0"/>
      <c r="IK43" s="0"/>
      <c r="IL43" s="0"/>
      <c r="IM43" s="0"/>
      <c r="IN43" s="8" t="s">
        <f>=-SUM(IN2:IN41)</f>
      </c>
      <c r="IO43" s="0" t="s">
        <v>591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11" t="n">
        <v>44798</v>
      </c>
      <c r="EJ44" s="6" t="n">
        <v>47.02</v>
      </c>
      <c r="EK44" s="0" t="s">
        <v>587</v>
      </c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11" t="n">
        <v>46056</v>
      </c>
      <c r="HP44" s="6" t="s">
        <f>=-45.6</f>
      </c>
      <c r="HQ44" s="0" t="s">
        <v>580</v>
      </c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11" t="n">
        <v>46023</v>
      </c>
      <c r="IE44" s="6" t="s">
        <f>=-10.95</f>
      </c>
      <c r="IF44" s="0" t="s">
        <v>567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11" t="n">
        <v>44803</v>
      </c>
      <c r="EJ45" s="6" t="n">
        <v>164.7</v>
      </c>
      <c r="EK45" s="0" t="s">
        <v>587</v>
      </c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11" t="n">
        <v>46078</v>
      </c>
      <c r="HP45" s="8" t="s">
        <f>=-Портфель!J78</f>
      </c>
      <c r="HQ45" s="0" t="s">
        <v>589</v>
      </c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11" t="n">
        <v>46053</v>
      </c>
      <c r="IE45" s="6" t="s">
        <f>=-222.81</f>
      </c>
      <c r="IF45" s="0" t="s">
        <v>575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11" t="n">
        <v>44805</v>
      </c>
      <c r="EJ46" s="6" t="n">
        <v>394.46</v>
      </c>
      <c r="EK46" s="0" t="s">
        <v>587</v>
      </c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10" t="s">
        <f>=XIRR(HP2:HP45,HO2:HO45)</f>
      </c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11" t="n">
        <v>46054</v>
      </c>
      <c r="IE46" s="6" t="s">
        <f>=-9.55</f>
      </c>
      <c r="IF46" s="0" t="s">
        <v>576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11" t="n">
        <v>44806</v>
      </c>
      <c r="EJ47" s="6" t="n">
        <v>-618.24</v>
      </c>
      <c r="EK47" s="0" t="s">
        <v>588</v>
      </c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8" t="s">
        <f>=-SUM(HP2:HP45)</f>
      </c>
      <c r="HQ47" s="0" t="s">
        <v>591</v>
      </c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11" t="n">
        <v>46078</v>
      </c>
      <c r="IE47" s="8" t="s">
        <f>=-Портфель!J83</f>
      </c>
      <c r="IF47" s="0" t="s">
        <v>589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11" t="n">
        <v>44809</v>
      </c>
      <c r="EJ48" s="6" t="n">
        <v>471.16</v>
      </c>
      <c r="EK48" s="0" t="s">
        <v>587</v>
      </c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10" t="s">
        <f>=XIRR(IE2:IE47,ID2:ID47)</f>
      </c>
      <c r="IF48" s="0"/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11" t="n">
        <v>44810</v>
      </c>
      <c r="EJ49" s="6" t="n">
        <v>82.47</v>
      </c>
      <c r="EK49" s="0" t="s">
        <v>587</v>
      </c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8" t="s">
        <f>=-SUM(IE2:IE47)</f>
      </c>
      <c r="IF49" s="0" t="s">
        <v>591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11" t="n">
        <v>44813</v>
      </c>
      <c r="EJ50" s="6" t="n">
        <v>209.91</v>
      </c>
      <c r="EK50" s="0" t="s">
        <v>587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11" t="n">
        <v>44820</v>
      </c>
      <c r="EJ51" s="6" t="n">
        <v>-507.79</v>
      </c>
      <c r="EK51" s="0" t="s">
        <v>588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11" t="n">
        <v>44820</v>
      </c>
      <c r="EJ52" s="6" t="n">
        <v>23.62</v>
      </c>
      <c r="EK52" s="0" t="s">
        <v>587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11" t="n">
        <v>44825</v>
      </c>
      <c r="EJ53" s="6" t="n">
        <v>29.54</v>
      </c>
      <c r="EK53" s="0" t="s">
        <v>587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11" t="n">
        <v>44830</v>
      </c>
      <c r="EJ54" s="6" t="n">
        <v>-311</v>
      </c>
      <c r="EK54" s="0" t="s">
        <v>588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11" t="n">
        <v>44838</v>
      </c>
      <c r="EJ55" s="6" t="n">
        <v>329.32</v>
      </c>
      <c r="EK55" s="0" t="s">
        <v>587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11" t="n">
        <v>44861</v>
      </c>
      <c r="EJ56" s="6" t="n">
        <v>446.36</v>
      </c>
      <c r="EK56" s="0" t="s">
        <v>587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11" t="n">
        <v>44866</v>
      </c>
      <c r="EJ57" s="6" t="n">
        <v>434.75</v>
      </c>
      <c r="EK57" s="0" t="s">
        <v>587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11" t="n">
        <v>44868</v>
      </c>
      <c r="EJ58" s="6" t="n">
        <v>23.85</v>
      </c>
      <c r="EK58" s="0" t="s">
        <v>587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11" t="n">
        <v>44872</v>
      </c>
      <c r="EJ59" s="6" t="n">
        <v>-465</v>
      </c>
      <c r="EK59" s="0" t="s">
        <v>588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11" t="n">
        <v>44873</v>
      </c>
      <c r="EJ60" s="6" t="n">
        <v>-59.63</v>
      </c>
      <c r="EK60" s="0" t="s">
        <v>588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11" t="n">
        <v>44873</v>
      </c>
      <c r="EJ61" s="6" t="n">
        <v>23.85</v>
      </c>
      <c r="EK61" s="0" t="s">
        <v>587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11" t="n">
        <v>44875</v>
      </c>
      <c r="EJ62" s="6" t="n">
        <v>-387.89</v>
      </c>
      <c r="EK62" s="0" t="s">
        <v>588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11" t="n">
        <v>44893</v>
      </c>
      <c r="EJ63" s="6" t="n">
        <v>-350.72</v>
      </c>
      <c r="EK63" s="0" t="s">
        <v>588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11" t="n">
        <v>44923</v>
      </c>
      <c r="EJ64" s="6" t="n">
        <v>361.17</v>
      </c>
      <c r="EK64" s="0" t="s">
        <v>587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11" t="n">
        <v>44924</v>
      </c>
      <c r="EJ65" s="6" t="n">
        <v>602.45</v>
      </c>
      <c r="EK65" s="0" t="s">
        <v>587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11" t="n">
        <v>44930</v>
      </c>
      <c r="EJ66" s="6" t="n">
        <v>482.32</v>
      </c>
      <c r="EK66" s="0" t="s">
        <v>587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11" t="n">
        <v>44931</v>
      </c>
      <c r="EJ67" s="6" t="n">
        <v>-20.51</v>
      </c>
      <c r="EK67" s="0" t="s">
        <v>588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11" t="n">
        <v>44937</v>
      </c>
      <c r="EJ68" s="6" t="n">
        <v>-1273.7</v>
      </c>
      <c r="EK68" s="0" t="s">
        <v>588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11" t="n">
        <v>44950</v>
      </c>
      <c r="EJ69" s="6" t="n">
        <v>435.6</v>
      </c>
      <c r="EK69" s="0" t="s">
        <v>587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11" t="n">
        <v>44956</v>
      </c>
      <c r="EJ70" s="6" t="n">
        <v>39.97</v>
      </c>
      <c r="EK70" s="0" t="s">
        <v>587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11" t="n">
        <v>44960</v>
      </c>
      <c r="EJ71" s="6" t="n">
        <v>-242.5</v>
      </c>
      <c r="EK71" s="0" t="s">
        <v>588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11" t="n">
        <v>44960</v>
      </c>
      <c r="EJ72" s="6" t="n">
        <v>65.48</v>
      </c>
      <c r="EK72" s="0" t="s">
        <v>587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11" t="n">
        <v>45002</v>
      </c>
      <c r="EJ73" s="6" t="n">
        <v>1807.34</v>
      </c>
      <c r="EK73" s="0" t="s">
        <v>587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11" t="n">
        <v>45036</v>
      </c>
      <c r="EJ74" s="6" t="n">
        <v>-1242.1</v>
      </c>
      <c r="EK74" s="0" t="s">
        <v>588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11" t="n">
        <v>45044</v>
      </c>
      <c r="EJ75" s="6" t="n">
        <v>-591.22</v>
      </c>
      <c r="EK75" s="0" t="s">
        <v>588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11" t="n">
        <v>45076</v>
      </c>
      <c r="EJ76" s="6" t="n">
        <v>241.51</v>
      </c>
      <c r="EK76" s="0" t="s">
        <v>587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11" t="n">
        <v>45083</v>
      </c>
      <c r="EJ77" s="6" t="n">
        <v>-595.2</v>
      </c>
      <c r="EK77" s="0" t="s">
        <v>588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11" t="n">
        <v>45091</v>
      </c>
      <c r="EJ78" s="6" t="n">
        <v>52.16</v>
      </c>
      <c r="EK78" s="0" t="s">
        <v>587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11" t="n">
        <v>45092</v>
      </c>
      <c r="EJ79" s="6" t="n">
        <v>428.69</v>
      </c>
      <c r="EK79" s="0" t="s">
        <v>587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11" t="n">
        <v>45107</v>
      </c>
      <c r="EJ80" s="6" t="n">
        <v>43.6</v>
      </c>
      <c r="EK80" s="0" t="s">
        <v>587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11" t="n">
        <v>45119</v>
      </c>
      <c r="EJ81" s="6" t="n">
        <v>68.66</v>
      </c>
      <c r="EK81" s="0" t="s">
        <v>587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11" t="n">
        <v>45120</v>
      </c>
      <c r="EJ82" s="6" t="n">
        <v>-424.69</v>
      </c>
      <c r="EK82" s="0" t="s">
        <v>588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11" t="n">
        <v>45121</v>
      </c>
      <c r="EJ83" s="6" t="n">
        <v>43.73</v>
      </c>
      <c r="EK83" s="0" t="s">
        <v>587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11" t="n">
        <v>45133</v>
      </c>
      <c r="EJ84" s="6" t="n">
        <v>31.3</v>
      </c>
      <c r="EK84" s="0" t="s">
        <v>587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11" t="n">
        <v>45141</v>
      </c>
      <c r="EJ85" s="6" t="n">
        <v>81.5</v>
      </c>
      <c r="EK85" s="0" t="s">
        <v>587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11" t="n">
        <v>45142</v>
      </c>
      <c r="EJ86" s="6" t="n">
        <v>70.26</v>
      </c>
      <c r="EK86" s="0" t="s">
        <v>587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11" t="n">
        <v>45196</v>
      </c>
      <c r="EJ87" s="6" t="n">
        <v>-471.49</v>
      </c>
      <c r="EK87" s="0" t="s">
        <v>588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11" t="n">
        <v>45265</v>
      </c>
      <c r="EJ88" s="6" t="n">
        <v>14375.9</v>
      </c>
      <c r="EK88" s="0" t="s">
        <v>587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11" t="n">
        <v>45266</v>
      </c>
      <c r="EJ89" s="6" t="n">
        <v>509.89</v>
      </c>
      <c r="EK89" s="0" t="s">
        <v>587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11" t="n">
        <v>45267</v>
      </c>
      <c r="EJ90" s="6" t="n">
        <v>45.78</v>
      </c>
      <c r="EK90" s="0" t="s">
        <v>587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11" t="n">
        <v>45271</v>
      </c>
      <c r="EJ91" s="6" t="n">
        <v>2187.87</v>
      </c>
      <c r="EK91" s="0" t="s">
        <v>587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11" t="n">
        <v>45272</v>
      </c>
      <c r="EJ92" s="6" t="n">
        <v>30141.5</v>
      </c>
      <c r="EK92" s="0" t="s">
        <v>587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11" t="n">
        <v>45273</v>
      </c>
      <c r="EJ93" s="6" t="n">
        <v>40641</v>
      </c>
      <c r="EK93" s="0" t="s">
        <v>587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11" t="n">
        <v>45274</v>
      </c>
      <c r="EJ94" s="6" t="n">
        <v>78979.6</v>
      </c>
      <c r="EK94" s="0" t="s">
        <v>587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11" t="n">
        <v>45275</v>
      </c>
      <c r="EJ95" s="6" t="n">
        <v>63686.2</v>
      </c>
      <c r="EK95" s="0" t="s">
        <v>587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11" t="n">
        <v>45278</v>
      </c>
      <c r="EJ96" s="6" t="n">
        <v>236.43</v>
      </c>
      <c r="EK96" s="0" t="s">
        <v>587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11" t="n">
        <v>45279</v>
      </c>
      <c r="EJ97" s="6" t="n">
        <v>236.57</v>
      </c>
      <c r="EK97" s="0" t="s">
        <v>587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11" t="n">
        <v>45280</v>
      </c>
      <c r="EJ98" s="6" t="n">
        <v>328.7</v>
      </c>
      <c r="EK98" s="0" t="s">
        <v>587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11" t="n">
        <v>45286</v>
      </c>
      <c r="EJ99" s="6" t="n">
        <v>1568.54</v>
      </c>
      <c r="EK99" s="0" t="s">
        <v>587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11" t="n">
        <v>45287</v>
      </c>
      <c r="EJ100" s="6" t="n">
        <v>7259.44</v>
      </c>
      <c r="EK100" s="0" t="s">
        <v>587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11" t="n">
        <v>45288</v>
      </c>
      <c r="EJ101" s="6" t="n">
        <v>105979.03</v>
      </c>
      <c r="EK101" s="0" t="s">
        <v>587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11" t="n">
        <v>45303</v>
      </c>
      <c r="EJ102" s="6" t="n">
        <v>172.67</v>
      </c>
      <c r="EK102" s="0" t="s">
        <v>587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11" t="n">
        <v>45307</v>
      </c>
      <c r="EJ103" s="6" t="n">
        <v>-21762.16</v>
      </c>
      <c r="EK103" s="0" t="s">
        <v>588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11" t="n">
        <v>45308</v>
      </c>
      <c r="EJ104" s="6" t="n">
        <v>-5117.81</v>
      </c>
      <c r="EK104" s="0" t="s">
        <v>588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11" t="n">
        <v>45315</v>
      </c>
      <c r="EJ105" s="6" t="n">
        <v>26.68</v>
      </c>
      <c r="EK105" s="0" t="s">
        <v>587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11" t="n">
        <v>45316</v>
      </c>
      <c r="EJ106" s="6" t="n">
        <v>90.76</v>
      </c>
      <c r="EK106" s="0" t="s">
        <v>587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11" t="n">
        <v>45321</v>
      </c>
      <c r="EJ107" s="6" t="n">
        <v>-23324.26</v>
      </c>
      <c r="EK107" s="0" t="s">
        <v>588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11" t="n">
        <v>45323</v>
      </c>
      <c r="EJ108" s="6" t="n">
        <v>-1606.08</v>
      </c>
      <c r="EK108" s="0" t="s">
        <v>588</v>
      </c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11" t="n">
        <v>45324</v>
      </c>
      <c r="EJ109" s="6" t="n">
        <v>-100509.38</v>
      </c>
      <c r="EK109" s="0" t="s">
        <v>588</v>
      </c>
    </row>
    <row collapsed="false" customFormat="false" customHeight="false" hidden="false" ht="12.1" outlineLevel="0" r="110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11" t="n">
        <v>45327</v>
      </c>
      <c r="EJ110" s="6" t="n">
        <v>-30813.05</v>
      </c>
      <c r="EK110" s="0" t="s">
        <v>588</v>
      </c>
    </row>
    <row collapsed="false" customFormat="false" customHeight="false" hidden="false" ht="12.1" outlineLevel="0" r="111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11" t="n">
        <v>45336</v>
      </c>
      <c r="EJ111" s="6" t="n">
        <v>13.46</v>
      </c>
      <c r="EK111" s="0" t="s">
        <v>587</v>
      </c>
    </row>
    <row collapsed="false" customFormat="false" customHeight="false" hidden="false" ht="12.1" outlineLevel="0" r="112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11" t="n">
        <v>45341</v>
      </c>
      <c r="EJ112" s="6" t="n">
        <v>-12809.8</v>
      </c>
      <c r="EK112" s="0" t="s">
        <v>588</v>
      </c>
    </row>
    <row collapsed="false" customFormat="false" customHeight="false" hidden="false" ht="12.1" outlineLevel="0" r="113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11" t="n">
        <v>45341</v>
      </c>
      <c r="EJ113" s="6" t="n">
        <v>88.99</v>
      </c>
      <c r="EK113" s="0" t="s">
        <v>587</v>
      </c>
    </row>
    <row collapsed="false" customFormat="false" customHeight="false" hidden="false" ht="12.1" outlineLevel="0" r="114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11" t="n">
        <v>45348</v>
      </c>
      <c r="EJ114" s="6" t="n">
        <v>-7432.79</v>
      </c>
      <c r="EK114" s="0" t="s">
        <v>588</v>
      </c>
    </row>
    <row collapsed="false" customFormat="false" customHeight="false" hidden="false" ht="12.1" outlineLevel="0" r="115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11" t="n">
        <v>45365</v>
      </c>
      <c r="EJ115" s="6" t="n">
        <v>-9608.25</v>
      </c>
      <c r="EK115" s="0" t="s">
        <v>588</v>
      </c>
    </row>
    <row collapsed="false" customFormat="false" customHeight="false" hidden="false" ht="12.1" outlineLevel="0" r="116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11" t="n">
        <v>45366</v>
      </c>
      <c r="EJ116" s="6" t="n">
        <v>-5060.44</v>
      </c>
      <c r="EK116" s="0" t="s">
        <v>588</v>
      </c>
    </row>
    <row collapsed="false" customFormat="false" customHeight="false" hidden="false" ht="12.1" outlineLevel="0" r="117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11" t="n">
        <v>45369</v>
      </c>
      <c r="EJ117" s="6" t="n">
        <v>-22350.23</v>
      </c>
      <c r="EK117" s="0" t="s">
        <v>588</v>
      </c>
    </row>
    <row collapsed="false" customFormat="false" customHeight="false" hidden="false" ht="12.1" outlineLevel="0" r="118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11" t="n">
        <v>45379</v>
      </c>
      <c r="EJ118" s="6" t="n">
        <v>-7754.2</v>
      </c>
      <c r="EK118" s="0" t="s">
        <v>588</v>
      </c>
    </row>
    <row collapsed="false" customFormat="false" customHeight="false" hidden="false" ht="12.1" outlineLevel="0" r="119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11" t="n">
        <v>45383</v>
      </c>
      <c r="EJ119" s="6" t="n">
        <v>617.63</v>
      </c>
      <c r="EK119" s="0" t="s">
        <v>587</v>
      </c>
    </row>
    <row collapsed="false" customFormat="false" customHeight="false" hidden="false" ht="12.1" outlineLevel="0" r="120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11" t="n">
        <v>45391</v>
      </c>
      <c r="EJ120" s="6" t="n">
        <v>-19594.71</v>
      </c>
      <c r="EK120" s="0" t="s">
        <v>588</v>
      </c>
    </row>
    <row collapsed="false" customFormat="false" customHeight="false" hidden="false" ht="12.1" outlineLevel="0" r="121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11" t="n">
        <v>45397</v>
      </c>
      <c r="EJ121" s="6" t="n">
        <v>165.59</v>
      </c>
      <c r="EK121" s="0" t="s">
        <v>587</v>
      </c>
    </row>
    <row collapsed="false" customFormat="false" customHeight="false" hidden="false" ht="12.1" outlineLevel="0" r="122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11" t="n">
        <v>45401</v>
      </c>
      <c r="EJ122" s="6" t="n">
        <v>-1590.57</v>
      </c>
      <c r="EK122" s="0" t="s">
        <v>588</v>
      </c>
    </row>
    <row collapsed="false" customFormat="false" customHeight="false" hidden="false" ht="12.1" outlineLevel="0" r="123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11" t="n">
        <v>45404</v>
      </c>
      <c r="EJ123" s="6" t="n">
        <v>228.36</v>
      </c>
      <c r="EK123" s="0" t="s">
        <v>587</v>
      </c>
    </row>
    <row collapsed="false" customFormat="false" customHeight="false" hidden="false" ht="12.1" outlineLevel="0" r="124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11" t="n">
        <v>45409</v>
      </c>
      <c r="EJ124" s="6" t="n">
        <v>437.16</v>
      </c>
      <c r="EK124" s="0" t="s">
        <v>587</v>
      </c>
    </row>
    <row collapsed="false" customFormat="false" customHeight="false" hidden="false" ht="12.1" outlineLevel="0" r="125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11" t="n">
        <v>45414</v>
      </c>
      <c r="EJ125" s="6" t="n">
        <v>73.67</v>
      </c>
      <c r="EK125" s="0" t="s">
        <v>587</v>
      </c>
    </row>
    <row collapsed="false" customFormat="false" customHeight="false" hidden="false" ht="12.1" outlineLevel="0" r="126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11" t="n">
        <v>45418</v>
      </c>
      <c r="EJ126" s="6" t="n">
        <v>-3571.51</v>
      </c>
      <c r="EK126" s="0" t="s">
        <v>588</v>
      </c>
    </row>
    <row collapsed="false" customFormat="false" customHeight="false" hidden="false" ht="12.1" outlineLevel="0" r="127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11" t="n">
        <v>45429</v>
      </c>
      <c r="EJ127" s="6" t="n">
        <v>-45888.24</v>
      </c>
      <c r="EK127" s="0" t="s">
        <v>588</v>
      </c>
    </row>
    <row collapsed="false" customFormat="false" customHeight="false" hidden="false" ht="12.1" outlineLevel="0" r="128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11" t="n">
        <v>45435</v>
      </c>
      <c r="EJ128" s="6" t="n">
        <v>-580.55</v>
      </c>
      <c r="EK128" s="0" t="s">
        <v>588</v>
      </c>
    </row>
    <row collapsed="false" customFormat="false" customHeight="false" hidden="false" ht="12.1" outlineLevel="0" r="129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11" t="n">
        <v>45442</v>
      </c>
      <c r="EJ129" s="6" t="n">
        <v>-4037.52</v>
      </c>
      <c r="EK129" s="0" t="s">
        <v>588</v>
      </c>
    </row>
    <row collapsed="false" customFormat="false" customHeight="false" hidden="false" ht="12.1" outlineLevel="0" r="130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11" t="n">
        <v>45446</v>
      </c>
      <c r="EJ130" s="6" t="n">
        <v>-2611.06</v>
      </c>
      <c r="EK130" s="0" t="s">
        <v>588</v>
      </c>
    </row>
    <row collapsed="false" customFormat="false" customHeight="false" hidden="false" ht="12.1" outlineLevel="0" r="131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11" t="n">
        <v>45447</v>
      </c>
      <c r="EJ131" s="6" t="n">
        <v>-5502.06</v>
      </c>
      <c r="EK131" s="0" t="s">
        <v>588</v>
      </c>
    </row>
    <row collapsed="false" customFormat="false" customHeight="false" hidden="false" ht="12.1" outlineLevel="0" r="132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11" t="n">
        <v>45454</v>
      </c>
      <c r="EJ132" s="6" t="n">
        <v>-14459.26</v>
      </c>
      <c r="EK132" s="0" t="s">
        <v>588</v>
      </c>
    </row>
    <row collapsed="false" customFormat="false" customHeight="false" hidden="false" ht="12.1" outlineLevel="0" r="133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11" t="n">
        <v>45461</v>
      </c>
      <c r="EJ133" s="6" t="n">
        <v>-10070.64</v>
      </c>
      <c r="EK133" s="0" t="s">
        <v>588</v>
      </c>
    </row>
    <row collapsed="false" customFormat="false" customHeight="false" hidden="false" ht="12.1" outlineLevel="0" r="134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11" t="n">
        <v>45463</v>
      </c>
      <c r="EJ134" s="6" t="n">
        <v>-4115.97</v>
      </c>
      <c r="EK134" s="0" t="s">
        <v>588</v>
      </c>
    </row>
    <row collapsed="false" customFormat="false" customHeight="false" hidden="false" ht="12.1" outlineLevel="0" r="135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11" t="n">
        <v>45464</v>
      </c>
      <c r="EJ135" s="6" t="n">
        <v>-265.75</v>
      </c>
      <c r="EK135" s="0" t="s">
        <v>588</v>
      </c>
    </row>
    <row collapsed="false" customFormat="false" customHeight="false" hidden="false" ht="12.1" outlineLevel="0" r="136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11" t="n">
        <v>45474</v>
      </c>
      <c r="EJ136" s="6" t="n">
        <v>4684.44</v>
      </c>
      <c r="EK136" s="0" t="s">
        <v>587</v>
      </c>
    </row>
    <row collapsed="false" customFormat="false" customHeight="false" hidden="false" ht="12.1" outlineLevel="0" r="137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11" t="n">
        <v>45483</v>
      </c>
      <c r="EJ137" s="6" t="n">
        <v>-2533.58</v>
      </c>
      <c r="EK137" s="0" t="s">
        <v>588</v>
      </c>
    </row>
    <row collapsed="false" customFormat="false" customHeight="false" hidden="false" ht="12.1" outlineLevel="0" r="138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11" t="n">
        <v>45484</v>
      </c>
      <c r="EJ138" s="6" t="n">
        <v>-1661.24</v>
      </c>
      <c r="EK138" s="0" t="s">
        <v>588</v>
      </c>
    </row>
    <row collapsed="false" customFormat="false" customHeight="false" hidden="false" ht="12.1" outlineLevel="0" r="139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11" t="n">
        <v>45491</v>
      </c>
      <c r="EJ139" s="6" t="n">
        <v>366.36</v>
      </c>
      <c r="EK139" s="0" t="s">
        <v>587</v>
      </c>
    </row>
    <row collapsed="false" customFormat="false" customHeight="false" hidden="false" ht="12.1" outlineLevel="0" r="140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11" t="n">
        <v>45492</v>
      </c>
      <c r="EJ140" s="6" t="n">
        <v>-589.74</v>
      </c>
      <c r="EK140" s="0" t="s">
        <v>588</v>
      </c>
    </row>
    <row collapsed="false" customFormat="false" customHeight="false" hidden="false" ht="12.1" outlineLevel="0" r="141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11" t="n">
        <v>45499</v>
      </c>
      <c r="EJ141" s="6" t="n">
        <v>677.98</v>
      </c>
      <c r="EK141" s="0" t="s">
        <v>587</v>
      </c>
    </row>
    <row collapsed="false" customFormat="false" customHeight="false" hidden="false" ht="12.1" outlineLevel="0" r="142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11" t="n">
        <v>45503</v>
      </c>
      <c r="EJ142" s="6" t="n">
        <v>-967.41</v>
      </c>
      <c r="EK142" s="0" t="s">
        <v>588</v>
      </c>
    </row>
    <row collapsed="false" customFormat="false" customHeight="false" hidden="false" ht="12.1" outlineLevel="0" r="143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11" t="n">
        <v>45517</v>
      </c>
      <c r="EJ143" s="6" t="n">
        <v>566.79</v>
      </c>
      <c r="EK143" s="0" t="s">
        <v>587</v>
      </c>
    </row>
    <row collapsed="false" customFormat="false" customHeight="false" hidden="false" ht="12.1" outlineLevel="0" r="144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11" t="n">
        <v>45526</v>
      </c>
      <c r="EJ144" s="6" t="n">
        <v>-540.05</v>
      </c>
      <c r="EK144" s="0" t="s">
        <v>588</v>
      </c>
    </row>
    <row collapsed="false" customFormat="false" customHeight="false" hidden="false" ht="12.1" outlineLevel="0" r="145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11" t="n">
        <v>45537</v>
      </c>
      <c r="EJ145" s="6" t="n">
        <v>-29.34</v>
      </c>
      <c r="EK145" s="0" t="s">
        <v>588</v>
      </c>
    </row>
    <row collapsed="false" customFormat="false" customHeight="false" hidden="false" ht="12.1" outlineLevel="0" r="146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11" t="n">
        <v>45551</v>
      </c>
      <c r="EJ146" s="6" t="n">
        <v>38417.6</v>
      </c>
      <c r="EK146" s="0" t="s">
        <v>587</v>
      </c>
    </row>
    <row collapsed="false" customFormat="false" customHeight="false" hidden="false" ht="12.1" outlineLevel="0" r="147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11" t="n">
        <v>45559</v>
      </c>
      <c r="EJ147" s="6" t="n">
        <v>11051.33</v>
      </c>
      <c r="EK147" s="0" t="s">
        <v>587</v>
      </c>
    </row>
    <row collapsed="false" customFormat="false" customHeight="false" hidden="false" ht="12.1" outlineLevel="0" r="148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11" t="n">
        <v>45560</v>
      </c>
      <c r="EJ148" s="6" t="n">
        <v>1706.72</v>
      </c>
      <c r="EK148" s="0" t="s">
        <v>587</v>
      </c>
    </row>
    <row collapsed="false" customFormat="false" customHeight="false" hidden="false" ht="12.1" outlineLevel="0" r="149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11" t="n">
        <v>45561</v>
      </c>
      <c r="EJ149" s="6" t="n">
        <v>742.4</v>
      </c>
      <c r="EK149" s="0" t="s">
        <v>587</v>
      </c>
    </row>
    <row collapsed="false" customFormat="false" customHeight="false" hidden="false" ht="12.1" outlineLevel="0" r="150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11" t="n">
        <v>45565</v>
      </c>
      <c r="EJ150" s="6" t="n">
        <v>401.71</v>
      </c>
      <c r="EK150" s="0" t="s">
        <v>587</v>
      </c>
    </row>
    <row collapsed="false" customFormat="false" customHeight="false" hidden="false" ht="12.1" outlineLevel="0" r="151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11" t="n">
        <v>45593</v>
      </c>
      <c r="EJ151" s="6" t="n">
        <v>-9986.27</v>
      </c>
      <c r="EK151" s="0" t="s">
        <v>588</v>
      </c>
    </row>
    <row collapsed="false" customFormat="false" customHeight="false" hidden="false" ht="12.1" outlineLevel="0" r="152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11" t="n">
        <v>45594</v>
      </c>
      <c r="EJ152" s="6" t="n">
        <v>-43383.75</v>
      </c>
      <c r="EK152" s="0" t="s">
        <v>588</v>
      </c>
    </row>
    <row collapsed="false" customFormat="false" customHeight="false" hidden="false" ht="12.1" outlineLevel="0" r="153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11" t="n">
        <v>45597</v>
      </c>
      <c r="EJ153" s="6" t="n">
        <v>302.28</v>
      </c>
      <c r="EK153" s="0" t="s">
        <v>587</v>
      </c>
    </row>
    <row collapsed="false" customFormat="false" customHeight="false" hidden="false" ht="12.1" outlineLevel="0" r="154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11" t="n">
        <v>45602</v>
      </c>
      <c r="EJ154" s="6" t="n">
        <v>12274.74</v>
      </c>
      <c r="EK154" s="0" t="s">
        <v>587</v>
      </c>
    </row>
    <row collapsed="false" customFormat="false" customHeight="false" hidden="false" ht="12.1" outlineLevel="0" r="155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11" t="n">
        <v>45603</v>
      </c>
      <c r="EJ155" s="6" t="n">
        <v>7808.95</v>
      </c>
      <c r="EK155" s="0" t="s">
        <v>587</v>
      </c>
    </row>
    <row collapsed="false" customFormat="false" customHeight="false" hidden="false" ht="12.1" outlineLevel="0" r="156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11" t="n">
        <v>45604</v>
      </c>
      <c r="EJ156" s="6" t="n">
        <v>-8929.37</v>
      </c>
      <c r="EK156" s="0" t="s">
        <v>588</v>
      </c>
    </row>
    <row collapsed="false" customFormat="false" customHeight="false" hidden="false" ht="12.1" outlineLevel="0" r="157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11" t="n">
        <v>45607</v>
      </c>
      <c r="EJ157" s="6" t="n">
        <v>-5621.78</v>
      </c>
      <c r="EK157" s="0" t="s">
        <v>588</v>
      </c>
    </row>
    <row collapsed="false" customFormat="false" customHeight="false" hidden="false" ht="12.1" outlineLevel="0" r="158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11" t="n">
        <v>45607</v>
      </c>
      <c r="EJ158" s="6" t="n">
        <v>410.27</v>
      </c>
      <c r="EK158" s="0" t="s">
        <v>587</v>
      </c>
    </row>
    <row collapsed="false" customFormat="false" customHeight="false" hidden="false" ht="12.1" outlineLevel="0" r="159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11" t="n">
        <v>45610</v>
      </c>
      <c r="EJ159" s="6" t="n">
        <v>494.78</v>
      </c>
      <c r="EK159" s="0" t="s">
        <v>587</v>
      </c>
    </row>
    <row collapsed="false" customFormat="false" customHeight="false" hidden="false" ht="12.1" outlineLevel="0" r="160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11" t="n">
        <v>45621</v>
      </c>
      <c r="EJ160" s="6" t="n">
        <v>-4365.35</v>
      </c>
      <c r="EK160" s="0" t="s">
        <v>588</v>
      </c>
    </row>
    <row collapsed="false" customFormat="false" customHeight="false" hidden="false" ht="12.1" outlineLevel="0" r="161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11" t="n">
        <v>45628</v>
      </c>
      <c r="EJ161" s="6" t="n">
        <v>384.43</v>
      </c>
      <c r="EK161" s="0" t="s">
        <v>587</v>
      </c>
    </row>
    <row collapsed="false" customFormat="false" customHeight="false" hidden="false" ht="12.1" outlineLevel="0" r="162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11" t="n">
        <v>45636</v>
      </c>
      <c r="EJ162" s="6" t="n">
        <v>84.96</v>
      </c>
      <c r="EK162" s="0" t="s">
        <v>587</v>
      </c>
    </row>
    <row collapsed="false" customFormat="false" customHeight="false" hidden="false" ht="12.1" outlineLevel="0" r="163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11" t="n">
        <v>45670</v>
      </c>
      <c r="EJ163" s="6" t="n">
        <v>3085.62</v>
      </c>
      <c r="EK163" s="0" t="s">
        <v>587</v>
      </c>
    </row>
    <row collapsed="false" customFormat="false" customHeight="false" hidden="false" ht="12.1" outlineLevel="0" r="164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11" t="n">
        <v>45685</v>
      </c>
      <c r="EJ164" s="6" t="n">
        <v>-3952.38</v>
      </c>
      <c r="EK164" s="0" t="s">
        <v>588</v>
      </c>
    </row>
    <row collapsed="false" customFormat="false" customHeight="false" hidden="false" ht="12.1" outlineLevel="0" r="165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11" t="n">
        <v>45691</v>
      </c>
      <c r="EJ165" s="6" t="n">
        <v>624.3</v>
      </c>
      <c r="EK165" s="0" t="s">
        <v>587</v>
      </c>
    </row>
    <row collapsed="false" customFormat="false" customHeight="false" hidden="false" ht="12.1" outlineLevel="0" r="166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11" t="n">
        <v>45695</v>
      </c>
      <c r="EJ166" s="6" t="n">
        <v>3578.85</v>
      </c>
      <c r="EK166" s="0" t="s">
        <v>587</v>
      </c>
    </row>
    <row collapsed="false" customFormat="false" customHeight="false" hidden="false" ht="12.1" outlineLevel="0" r="167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11" t="n">
        <v>45695</v>
      </c>
      <c r="EJ167" s="6" t="n">
        <v>-6230.64</v>
      </c>
      <c r="EK167" s="0" t="s">
        <v>588</v>
      </c>
    </row>
    <row collapsed="false" customFormat="false" customHeight="false" hidden="false" ht="12.1" outlineLevel="0" r="168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11" t="n">
        <v>45698</v>
      </c>
      <c r="EJ168" s="6" t="n">
        <v>119.9</v>
      </c>
      <c r="EK168" s="0" t="s">
        <v>587</v>
      </c>
    </row>
    <row collapsed="false" customFormat="false" customHeight="false" hidden="false" ht="12.1" outlineLevel="0" r="169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11" t="n">
        <v>45700</v>
      </c>
      <c r="EJ169" s="6" t="n">
        <v>656.21</v>
      </c>
      <c r="EK169" s="0" t="s">
        <v>587</v>
      </c>
    </row>
    <row collapsed="false" customFormat="false" customHeight="false" hidden="false" ht="12.1" outlineLevel="0" r="170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11" t="n">
        <v>45701</v>
      </c>
      <c r="EJ170" s="6" t="n">
        <v>48.04</v>
      </c>
      <c r="EK170" s="0" t="s">
        <v>587</v>
      </c>
    </row>
    <row collapsed="false" customFormat="false" customHeight="false" hidden="false" ht="12.1" outlineLevel="0" r="171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11" t="n">
        <v>45721</v>
      </c>
      <c r="EJ171" s="6" t="n">
        <v>566.72</v>
      </c>
      <c r="EK171" s="0" t="s">
        <v>587</v>
      </c>
    </row>
    <row collapsed="false" customFormat="false" customHeight="false" hidden="false" ht="12.1" outlineLevel="0" r="172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11" t="n">
        <v>45727</v>
      </c>
      <c r="EJ172" s="6" t="n">
        <v>406.2</v>
      </c>
      <c r="EK172" s="0" t="s">
        <v>587</v>
      </c>
    </row>
    <row collapsed="false" customFormat="false" customHeight="false" hidden="false" ht="12.1" outlineLevel="0" r="173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11" t="n">
        <v>45749</v>
      </c>
      <c r="EJ173" s="6" t="n">
        <v>411.42</v>
      </c>
      <c r="EK173" s="0" t="s">
        <v>587</v>
      </c>
    </row>
    <row collapsed="false" customFormat="false" customHeight="false" hidden="false" ht="12.1" outlineLevel="0" r="174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11" t="n">
        <v>45810</v>
      </c>
      <c r="EJ174" s="6" t="n">
        <v>511.05</v>
      </c>
      <c r="EK174" s="0" t="s">
        <v>587</v>
      </c>
    </row>
    <row collapsed="false" customFormat="false" customHeight="false" hidden="false" ht="12.1" outlineLevel="0" r="175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11" t="n">
        <v>45849</v>
      </c>
      <c r="EJ175" s="6" t="n">
        <v>4965.84</v>
      </c>
      <c r="EK175" s="0" t="s">
        <v>587</v>
      </c>
    </row>
    <row collapsed="false" customFormat="false" customHeight="false" hidden="false" ht="12.1" outlineLevel="0" r="176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11" t="n">
        <v>45852</v>
      </c>
      <c r="EJ176" s="6" t="n">
        <v>-5403.92</v>
      </c>
      <c r="EK176" s="0" t="s">
        <v>588</v>
      </c>
    </row>
    <row collapsed="false" customFormat="false" customHeight="false" hidden="false" ht="12.1" outlineLevel="0" r="177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11" t="n">
        <v>45855</v>
      </c>
      <c r="EJ177" s="6" t="n">
        <v>3230.1</v>
      </c>
      <c r="EK177" s="0" t="s">
        <v>587</v>
      </c>
    </row>
    <row collapsed="false" customFormat="false" customHeight="false" hidden="false" ht="12.1" outlineLevel="0" r="178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11" t="n">
        <v>45874</v>
      </c>
      <c r="EJ178" s="6" t="n">
        <v>264.41</v>
      </c>
      <c r="EK178" s="0" t="s">
        <v>587</v>
      </c>
    </row>
    <row collapsed="false" customFormat="false" customHeight="false" hidden="false" ht="12.1" outlineLevel="0" r="179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11" t="n">
        <v>45880</v>
      </c>
      <c r="EJ179" s="6" t="n">
        <v>7247.57</v>
      </c>
      <c r="EK179" s="0" t="s">
        <v>587</v>
      </c>
    </row>
    <row collapsed="false" customFormat="false" customHeight="false" hidden="false" ht="12.1" outlineLevel="0" r="180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11" t="n">
        <v>45901</v>
      </c>
      <c r="EJ180" s="6" t="n">
        <v>803.66</v>
      </c>
      <c r="EK180" s="0" t="s">
        <v>587</v>
      </c>
    </row>
    <row collapsed="false" customFormat="false" customHeight="false" hidden="false" ht="12.1" outlineLevel="0" r="181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11" t="n">
        <v>45902</v>
      </c>
      <c r="EJ181" s="6" t="n">
        <v>285.89</v>
      </c>
      <c r="EK181" s="0" t="s">
        <v>587</v>
      </c>
    </row>
    <row collapsed="false" customFormat="false" customHeight="false" hidden="false" ht="12.1" outlineLevel="0" r="182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11" t="n">
        <v>45908</v>
      </c>
      <c r="EJ182" s="6" t="n">
        <v>394.24</v>
      </c>
      <c r="EK182" s="0" t="s">
        <v>587</v>
      </c>
    </row>
    <row collapsed="false" customFormat="false" customHeight="false" hidden="false" ht="12.1" outlineLevel="0" r="183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11" t="n">
        <v>45911</v>
      </c>
      <c r="EJ183" s="6" t="n">
        <v>35.89</v>
      </c>
      <c r="EK183" s="0" t="s">
        <v>587</v>
      </c>
    </row>
    <row collapsed="false" customFormat="false" customHeight="false" hidden="false" ht="12.1" outlineLevel="0" r="184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11" t="n">
        <v>45923</v>
      </c>
      <c r="EJ184" s="6" t="n">
        <v>4240.11</v>
      </c>
      <c r="EK184" s="0" t="s">
        <v>587</v>
      </c>
    </row>
    <row collapsed="false" customFormat="false" customHeight="false" hidden="false" ht="12.1" outlineLevel="0" r="185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11" t="n">
        <v>45924</v>
      </c>
      <c r="EJ185" s="6" t="n">
        <v>722.08</v>
      </c>
      <c r="EK185" s="0" t="s">
        <v>587</v>
      </c>
    </row>
    <row collapsed="false" customFormat="false" customHeight="false" hidden="false" ht="12.1" outlineLevel="0" r="186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11" t="n">
        <v>45931</v>
      </c>
      <c r="EJ186" s="6" t="n">
        <v>-597.6</v>
      </c>
      <c r="EK186" s="0" t="s">
        <v>588</v>
      </c>
    </row>
    <row collapsed="false" customFormat="false" customHeight="false" hidden="false" ht="12.1" outlineLevel="0" r="187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11" t="n">
        <v>45931</v>
      </c>
      <c r="EJ187" s="6" t="n">
        <v>181.1</v>
      </c>
      <c r="EK187" s="0" t="s">
        <v>587</v>
      </c>
    </row>
    <row collapsed="false" customFormat="false" customHeight="false" hidden="false" ht="12.1" outlineLevel="0" r="188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11" t="n">
        <v>45933</v>
      </c>
      <c r="EJ188" s="6" t="n">
        <v>272.16</v>
      </c>
      <c r="EK188" s="0" t="s">
        <v>587</v>
      </c>
    </row>
    <row collapsed="false" customFormat="false" customHeight="false" hidden="false" ht="12.1" outlineLevel="0" r="189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11" t="n">
        <v>45936</v>
      </c>
      <c r="EJ189" s="6" t="n">
        <v>399.34</v>
      </c>
      <c r="EK189" s="0" t="s">
        <v>587</v>
      </c>
    </row>
    <row collapsed="false" customFormat="false" customHeight="false" hidden="false" ht="12.1" outlineLevel="0" r="190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11" t="n">
        <v>45938</v>
      </c>
      <c r="EJ190" s="6" t="n">
        <v>472.37</v>
      </c>
      <c r="EK190" s="0" t="s">
        <v>587</v>
      </c>
    </row>
    <row collapsed="false" customFormat="false" customHeight="false" hidden="false" ht="12.1" outlineLevel="0" r="191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11" t="n">
        <v>45943</v>
      </c>
      <c r="EJ191" s="6" t="n">
        <v>-13693.92</v>
      </c>
      <c r="EK191" s="0" t="s">
        <v>588</v>
      </c>
    </row>
    <row collapsed="false" customFormat="false" customHeight="false" hidden="false" ht="12.1" outlineLevel="0" r="192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11" t="n">
        <v>45950</v>
      </c>
      <c r="EJ192" s="6" t="n">
        <v>383649</v>
      </c>
      <c r="EK192" s="0" t="s">
        <v>587</v>
      </c>
    </row>
    <row collapsed="false" customFormat="false" customHeight="false" hidden="false" ht="12.1" outlineLevel="0" r="193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11" t="n">
        <v>45951</v>
      </c>
      <c r="EJ193" s="6" t="n">
        <v>365.54</v>
      </c>
      <c r="EK193" s="0" t="s">
        <v>587</v>
      </c>
    </row>
    <row collapsed="false" customFormat="false" customHeight="false" hidden="false" ht="12.1" outlineLevel="0" r="194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11" t="n">
        <v>45962</v>
      </c>
      <c r="EJ194" s="6" t="n">
        <v>220.46</v>
      </c>
      <c r="EK194" s="0" t="s">
        <v>587</v>
      </c>
    </row>
    <row collapsed="false" customFormat="false" customHeight="false" hidden="false" ht="12.1" outlineLevel="0" r="195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11" t="n">
        <v>45966</v>
      </c>
      <c r="EJ195" s="6" t="n">
        <v>680.65</v>
      </c>
      <c r="EK195" s="0" t="s">
        <v>587</v>
      </c>
    </row>
    <row collapsed="false" customFormat="false" customHeight="false" hidden="false" ht="12.1" outlineLevel="0" r="196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11" t="n">
        <v>45971</v>
      </c>
      <c r="EJ196" s="6" t="n">
        <v>-143110.91</v>
      </c>
      <c r="EK196" s="0" t="s">
        <v>588</v>
      </c>
    </row>
    <row collapsed="false" customFormat="false" customHeight="false" hidden="false" ht="12.1" outlineLevel="0" r="197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11" t="n">
        <v>45980</v>
      </c>
      <c r="EJ197" s="6" t="n">
        <v>111.05</v>
      </c>
      <c r="EK197" s="0" t="s">
        <v>587</v>
      </c>
    </row>
    <row collapsed="false" customFormat="false" customHeight="false" hidden="false" ht="12.1" outlineLevel="0" r="198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11" t="n">
        <v>45992</v>
      </c>
      <c r="EJ198" s="6" t="n">
        <v>204.71</v>
      </c>
      <c r="EK198" s="0" t="s">
        <v>587</v>
      </c>
    </row>
    <row collapsed="false" customFormat="false" customHeight="false" hidden="false" ht="12.1" outlineLevel="0" r="199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11" t="n">
        <v>45994</v>
      </c>
      <c r="EJ199" s="6" t="n">
        <v>279.39</v>
      </c>
      <c r="EK199" s="0" t="s">
        <v>587</v>
      </c>
    </row>
    <row collapsed="false" customFormat="false" customHeight="false" hidden="false" ht="12.1" outlineLevel="0" r="200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11" t="n">
        <v>45999</v>
      </c>
      <c r="EJ200" s="6" t="n">
        <v>373.3</v>
      </c>
      <c r="EK200" s="0" t="s">
        <v>587</v>
      </c>
    </row>
    <row collapsed="false" customFormat="false" customHeight="false" hidden="false" ht="12.1" outlineLevel="0" r="201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11" t="n">
        <v>46001</v>
      </c>
      <c r="EJ201" s="6" t="n">
        <v>168.14</v>
      </c>
      <c r="EK201" s="0" t="s">
        <v>587</v>
      </c>
    </row>
    <row collapsed="false" customFormat="false" customHeight="false" hidden="false" ht="12.1" outlineLevel="0" r="202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11" t="n">
        <v>46015</v>
      </c>
      <c r="EJ202" s="6" t="n">
        <v>-107377.49</v>
      </c>
      <c r="EK202" s="0" t="s">
        <v>588</v>
      </c>
    </row>
    <row collapsed="false" customFormat="false" customHeight="false" hidden="false" ht="12.1" outlineLevel="0" r="203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11" t="n">
        <v>46057</v>
      </c>
      <c r="EJ203" s="6" t="n">
        <v>3788.14</v>
      </c>
      <c r="EK203" s="0" t="s">
        <v>587</v>
      </c>
    </row>
    <row collapsed="false" customFormat="false" customHeight="false" hidden="false" ht="12.1" outlineLevel="0" r="204">
      <c r="A204" s="0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11" t="n">
        <v>46065</v>
      </c>
      <c r="EJ204" s="6" t="n">
        <v>537.52</v>
      </c>
      <c r="EK204" s="0" t="s">
        <v>587</v>
      </c>
    </row>
    <row collapsed="false" customFormat="false" customHeight="false" hidden="false" ht="12.1" outlineLevel="0" r="205">
      <c r="A205" s="0"/>
      <c r="B205" s="0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11" t="n">
        <v>46069</v>
      </c>
      <c r="EJ205" s="6" t="n">
        <v>-99997.7</v>
      </c>
      <c r="EK205" s="0" t="s">
        <v>588</v>
      </c>
    </row>
    <row collapsed="false" customFormat="false" customHeight="false" hidden="false" ht="12.1" outlineLevel="0" r="206">
      <c r="A206" s="0"/>
      <c r="B206" s="0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11" t="n">
        <v>46078</v>
      </c>
      <c r="EJ206" s="8" t="s">
        <f>=-Портфель!J49</f>
      </c>
      <c r="EK206" s="0" t="s">
        <v>589</v>
      </c>
    </row>
    <row collapsed="false" customFormat="false" customHeight="false" hidden="false" ht="12.1" outlineLevel="0" r="207">
      <c r="A207" s="0"/>
      <c r="B207" s="0"/>
      <c r="C207" s="0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10" t="s">
        <f>=XIRR(EJ2:EJ206,EI2:EI206)</f>
      </c>
      <c r="EK207" s="0"/>
    </row>
    <row collapsed="false" customFormat="false" customHeight="false" hidden="false" ht="12.1" outlineLevel="0" r="208">
      <c r="A208" s="0"/>
      <c r="B208" s="0"/>
      <c r="C208" s="0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8" t="s">
        <f>=-SUM(EJ2:EJ206)</f>
      </c>
      <c r="EK208" s="0" t="s">
        <v>591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C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592</v>
      </c>
      <c r="C1" s="0"/>
      <c r="D1" s="0"/>
      <c r="E1" s="4" t="s">
        <v>593</v>
      </c>
      <c r="F1" s="0"/>
      <c r="G1" s="0"/>
      <c r="H1" s="4" t="s">
        <v>594</v>
      </c>
      <c r="I1" s="0"/>
      <c r="J1" s="0"/>
      <c r="K1" s="4" t="s">
        <v>595</v>
      </c>
      <c r="L1" s="0"/>
      <c r="M1" s="0"/>
      <c r="N1" s="4" t="s">
        <v>596</v>
      </c>
      <c r="O1" s="0"/>
      <c r="P1" s="0"/>
      <c r="Q1" s="4" t="s">
        <v>597</v>
      </c>
      <c r="R1" s="0"/>
      <c r="S1" s="0"/>
      <c r="T1" s="4" t="s">
        <v>598</v>
      </c>
      <c r="U1" s="0"/>
      <c r="V1" s="0"/>
      <c r="W1" s="4" t="s">
        <v>599</v>
      </c>
      <c r="X1" s="0"/>
      <c r="Y1" s="0"/>
      <c r="Z1" s="4" t="s">
        <v>600</v>
      </c>
      <c r="AA1" s="0"/>
      <c r="AB1" s="0"/>
      <c r="AC1" s="4" t="s">
        <v>601</v>
      </c>
      <c r="AD1" s="0"/>
      <c r="AE1" s="0"/>
      <c r="AF1" s="4" t="s">
        <v>602</v>
      </c>
      <c r="AG1" s="0"/>
      <c r="AH1" s="0"/>
      <c r="AI1" s="4" t="s">
        <v>603</v>
      </c>
      <c r="AJ1" s="0"/>
      <c r="AK1" s="0"/>
      <c r="AL1" s="4" t="s">
        <v>604</v>
      </c>
      <c r="AM1" s="0"/>
      <c r="AN1" s="0"/>
      <c r="AO1" s="4" t="s">
        <v>605</v>
      </c>
      <c r="AP1" s="0"/>
      <c r="AQ1" s="0"/>
      <c r="AR1" s="4" t="s">
        <v>606</v>
      </c>
      <c r="AS1" s="0"/>
      <c r="AT1" s="0"/>
      <c r="AU1" s="4" t="s">
        <v>607</v>
      </c>
      <c r="AV1" s="0"/>
      <c r="AW1" s="0"/>
      <c r="AX1" s="4" t="s">
        <v>608</v>
      </c>
      <c r="AY1" s="0"/>
      <c r="AZ1" s="0"/>
      <c r="BA1" s="4" t="s">
        <v>609</v>
      </c>
      <c r="BB1" s="0"/>
      <c r="BC1" s="0"/>
      <c r="BD1" s="4" t="s">
        <v>610</v>
      </c>
      <c r="BE1" s="0"/>
      <c r="BF1" s="0"/>
      <c r="BG1" s="4" t="s">
        <v>611</v>
      </c>
      <c r="BH1" s="0"/>
      <c r="BI1" s="0"/>
      <c r="BJ1" s="4" t="s">
        <v>612</v>
      </c>
      <c r="BK1" s="0"/>
      <c r="BL1" s="0"/>
      <c r="BM1" s="4" t="s">
        <v>613</v>
      </c>
      <c r="BN1" s="0"/>
      <c r="BO1" s="0"/>
      <c r="BP1" s="4" t="s">
        <v>614</v>
      </c>
      <c r="BQ1" s="0"/>
      <c r="BR1" s="0"/>
      <c r="BS1" s="4" t="s">
        <v>615</v>
      </c>
      <c r="BT1" s="0"/>
      <c r="BU1" s="0"/>
      <c r="BV1" s="4" t="s">
        <v>616</v>
      </c>
      <c r="BW1" s="0"/>
      <c r="BX1" s="0"/>
      <c r="BY1" s="4" t="s">
        <v>617</v>
      </c>
      <c r="BZ1" s="0"/>
      <c r="CA1" s="0"/>
      <c r="CB1" s="4" t="s">
        <v>618</v>
      </c>
      <c r="CC1" s="0"/>
    </row>
    <row collapsed="false" customFormat="false" customHeight="false" hidden="false" ht="12.1" outlineLevel="0" r="2">
      <c r="A2" s="11" t="n">
        <v>44648</v>
      </c>
      <c r="B2" s="6" t="n">
        <v>70.06</v>
      </c>
      <c r="C2" s="0" t="s">
        <v>587</v>
      </c>
      <c r="D2" s="11" t="n">
        <v>44651</v>
      </c>
      <c r="E2" s="6" t="n">
        <v>1387.83</v>
      </c>
      <c r="F2" s="0" t="s">
        <v>587</v>
      </c>
      <c r="G2" s="11" t="n">
        <v>44659</v>
      </c>
      <c r="H2" s="6" t="n">
        <v>723.58</v>
      </c>
      <c r="I2" s="0" t="s">
        <v>587</v>
      </c>
      <c r="J2" s="11" t="n">
        <v>44659</v>
      </c>
      <c r="K2" s="6" t="n">
        <v>870.73</v>
      </c>
      <c r="L2" s="0" t="s">
        <v>587</v>
      </c>
      <c r="M2" s="11" t="n">
        <v>44740</v>
      </c>
      <c r="N2" s="6" t="n">
        <v>795.08</v>
      </c>
      <c r="O2" s="0" t="s">
        <v>587</v>
      </c>
      <c r="P2" s="11" t="n">
        <v>44761</v>
      </c>
      <c r="Q2" s="6" t="n">
        <v>352.01</v>
      </c>
      <c r="R2" s="0" t="s">
        <v>587</v>
      </c>
      <c r="S2" s="11" t="n">
        <v>44767</v>
      </c>
      <c r="T2" s="6" t="n">
        <v>195.32</v>
      </c>
      <c r="U2" s="0" t="s">
        <v>587</v>
      </c>
      <c r="V2" s="11" t="n">
        <v>44795</v>
      </c>
      <c r="W2" s="6" t="n">
        <v>1191.92</v>
      </c>
      <c r="X2" s="0" t="s">
        <v>587</v>
      </c>
      <c r="Y2" s="11" t="n">
        <v>44795</v>
      </c>
      <c r="Z2" s="6" t="n">
        <v>446.07</v>
      </c>
      <c r="AA2" s="0" t="s">
        <v>587</v>
      </c>
      <c r="AB2" s="11" t="n">
        <v>44893</v>
      </c>
      <c r="AC2" s="6" t="n">
        <v>2653.33</v>
      </c>
      <c r="AD2" s="0" t="s">
        <v>587</v>
      </c>
      <c r="AE2" s="11" t="n">
        <v>45287</v>
      </c>
      <c r="AF2" s="6" t="n">
        <v>3034.14</v>
      </c>
      <c r="AG2" s="0" t="s">
        <v>587</v>
      </c>
      <c r="AH2" s="11" t="n">
        <v>45287</v>
      </c>
      <c r="AI2" s="6" t="n">
        <v>1968.35</v>
      </c>
      <c r="AJ2" s="0" t="s">
        <v>587</v>
      </c>
      <c r="AK2" s="11" t="n">
        <v>45287</v>
      </c>
      <c r="AL2" s="6" t="n">
        <v>1997.06</v>
      </c>
      <c r="AM2" s="0" t="s">
        <v>587</v>
      </c>
      <c r="AN2" s="11" t="n">
        <v>45287</v>
      </c>
      <c r="AO2" s="6" t="n">
        <v>2091.5</v>
      </c>
      <c r="AP2" s="0" t="s">
        <v>587</v>
      </c>
      <c r="AQ2" s="11" t="n">
        <v>45307</v>
      </c>
      <c r="AR2" s="6" t="n">
        <v>2940.32</v>
      </c>
      <c r="AS2" s="0" t="s">
        <v>587</v>
      </c>
      <c r="AT2" s="11" t="n">
        <v>45307</v>
      </c>
      <c r="AU2" s="6" t="n">
        <v>1960.69</v>
      </c>
      <c r="AV2" s="0" t="s">
        <v>587</v>
      </c>
      <c r="AW2" s="11" t="n">
        <v>45307</v>
      </c>
      <c r="AX2" s="6" t="n">
        <v>2067.18</v>
      </c>
      <c r="AY2" s="0" t="s">
        <v>587</v>
      </c>
      <c r="AZ2" s="11" t="n">
        <v>45327</v>
      </c>
      <c r="BA2" s="6" t="n">
        <v>9286.53</v>
      </c>
      <c r="BB2" s="0" t="s">
        <v>587</v>
      </c>
      <c r="BC2" s="11" t="n">
        <v>45394</v>
      </c>
      <c r="BD2" s="6" t="n">
        <v>2351.18</v>
      </c>
      <c r="BE2" s="0" t="s">
        <v>587</v>
      </c>
      <c r="BF2" s="11" t="n">
        <v>45408</v>
      </c>
      <c r="BG2" s="6" t="n">
        <v>2501.25</v>
      </c>
      <c r="BH2" s="0" t="s">
        <v>587</v>
      </c>
      <c r="BI2" s="11" t="n">
        <v>45442</v>
      </c>
      <c r="BJ2" s="6" t="n">
        <v>4922.15</v>
      </c>
      <c r="BK2" s="0" t="s">
        <v>587</v>
      </c>
      <c r="BL2" s="11" t="n">
        <v>45467</v>
      </c>
      <c r="BM2" s="6" t="n">
        <v>11925.04</v>
      </c>
      <c r="BN2" s="0" t="s">
        <v>587</v>
      </c>
      <c r="BO2" s="11" t="n">
        <v>45537</v>
      </c>
      <c r="BP2" s="6" t="n">
        <v>1638.06</v>
      </c>
      <c r="BQ2" s="0" t="s">
        <v>587</v>
      </c>
      <c r="BR2" s="11" t="n">
        <v>45604</v>
      </c>
      <c r="BS2" s="6" t="n">
        <v>4323.92</v>
      </c>
      <c r="BT2" s="0" t="s">
        <v>587</v>
      </c>
      <c r="BU2" s="11" t="n">
        <v>45685</v>
      </c>
      <c r="BV2" s="6" t="n">
        <v>3972.67</v>
      </c>
      <c r="BW2" s="0" t="s">
        <v>587</v>
      </c>
      <c r="BX2" s="11" t="n">
        <v>45695</v>
      </c>
      <c r="BY2" s="6" t="n">
        <v>641.21</v>
      </c>
      <c r="BZ2" s="0" t="s">
        <v>587</v>
      </c>
      <c r="CA2" s="11" t="n">
        <v>45943</v>
      </c>
      <c r="CB2" s="6" t="n">
        <v>7337.86</v>
      </c>
      <c r="CC2" s="0" t="s">
        <v>587</v>
      </c>
    </row>
    <row collapsed="false" customFormat="false" customHeight="false" hidden="false" ht="12.1" outlineLevel="0" r="3">
      <c r="A3" s="11" t="n">
        <v>45852</v>
      </c>
      <c r="B3" s="6" t="n">
        <v>5417.71</v>
      </c>
      <c r="C3" s="0" t="s">
        <v>587</v>
      </c>
      <c r="D3" s="11" t="n">
        <v>45057</v>
      </c>
      <c r="E3" s="6" t="n">
        <v>-217</v>
      </c>
      <c r="F3" s="0" t="s">
        <v>266</v>
      </c>
      <c r="G3" s="11" t="n">
        <v>44923</v>
      </c>
      <c r="H3" s="6" t="n">
        <v>-608.81</v>
      </c>
      <c r="I3" s="0" t="s">
        <v>588</v>
      </c>
      <c r="J3" s="11" t="n">
        <v>44825</v>
      </c>
      <c r="K3" s="6" t="n">
        <v>-22.93</v>
      </c>
      <c r="L3" s="0" t="s">
        <v>260</v>
      </c>
      <c r="M3" s="11" t="n">
        <v>45938</v>
      </c>
      <c r="N3" s="6" t="n">
        <v>-495.6</v>
      </c>
      <c r="O3" s="0" t="s">
        <v>588</v>
      </c>
      <c r="P3" s="11" t="n">
        <v>44809</v>
      </c>
      <c r="Q3" s="6" t="n">
        <v>-427.15</v>
      </c>
      <c r="R3" s="0" t="s">
        <v>588</v>
      </c>
      <c r="S3" s="11" t="n">
        <v>44767</v>
      </c>
      <c r="T3" s="6" t="n">
        <v>-199.48</v>
      </c>
      <c r="U3" s="0" t="s">
        <v>588</v>
      </c>
      <c r="V3" s="0"/>
      <c r="W3" s="10" t="s">
        <f>=XIRR(W2:W2,V2:V2)</f>
      </c>
      <c r="X3" s="0"/>
      <c r="Y3" s="11" t="n">
        <v>44797</v>
      </c>
      <c r="Z3" s="6" t="n">
        <v>-457.53</v>
      </c>
      <c r="AA3" s="0" t="s">
        <v>588</v>
      </c>
      <c r="AB3" s="11" t="n">
        <v>44894</v>
      </c>
      <c r="AC3" s="6" t="n">
        <v>-1339.33</v>
      </c>
      <c r="AD3" s="0" t="s">
        <v>588</v>
      </c>
      <c r="AE3" s="11" t="n">
        <v>45305</v>
      </c>
      <c r="AF3" s="6" t="n">
        <v>-35.08</v>
      </c>
      <c r="AG3" s="0" t="s">
        <v>285</v>
      </c>
      <c r="AH3" s="11" t="n">
        <v>45377</v>
      </c>
      <c r="AI3" s="6" t="n">
        <v>-55.32</v>
      </c>
      <c r="AJ3" s="0" t="s">
        <v>305</v>
      </c>
      <c r="AK3" s="11" t="n">
        <v>45316</v>
      </c>
      <c r="AL3" s="6" t="n">
        <v>-77.76</v>
      </c>
      <c r="AM3" s="0" t="s">
        <v>286</v>
      </c>
      <c r="AN3" s="11" t="n">
        <v>45300</v>
      </c>
      <c r="AO3" s="6" t="n">
        <v>-77.76</v>
      </c>
      <c r="AP3" s="0" t="s">
        <v>283</v>
      </c>
      <c r="AQ3" s="11" t="n">
        <v>45364</v>
      </c>
      <c r="AR3" s="6" t="n">
        <v>-103.08</v>
      </c>
      <c r="AS3" s="0" t="s">
        <v>299</v>
      </c>
      <c r="AT3" s="11" t="n">
        <v>45378</v>
      </c>
      <c r="AU3" s="6" t="n">
        <v>-94.7</v>
      </c>
      <c r="AV3" s="0" t="s">
        <v>307</v>
      </c>
      <c r="AW3" s="11" t="n">
        <v>45342</v>
      </c>
      <c r="AX3" s="6" t="n">
        <v>-82.74</v>
      </c>
      <c r="AY3" s="0" t="s">
        <v>292</v>
      </c>
      <c r="AZ3" s="11" t="n">
        <v>45427</v>
      </c>
      <c r="BA3" s="6" t="n">
        <v>-310.5</v>
      </c>
      <c r="BB3" s="0" t="s">
        <v>316</v>
      </c>
      <c r="BC3" s="11" t="n">
        <v>45394</v>
      </c>
      <c r="BD3" s="6" t="n">
        <v>-2384.6</v>
      </c>
      <c r="BE3" s="0" t="s">
        <v>588</v>
      </c>
      <c r="BF3" s="11" t="n">
        <v>45408</v>
      </c>
      <c r="BG3" s="6" t="n">
        <v>-2664.67</v>
      </c>
      <c r="BH3" s="0" t="s">
        <v>588</v>
      </c>
      <c r="BI3" s="11" t="n">
        <v>45484</v>
      </c>
      <c r="BJ3" s="6" t="n">
        <v>-34.6</v>
      </c>
      <c r="BK3" s="0" t="s">
        <v>334</v>
      </c>
      <c r="BL3" s="11" t="n">
        <v>45639</v>
      </c>
      <c r="BM3" s="6" t="n">
        <v>-1132.75</v>
      </c>
      <c r="BN3" s="0" t="s">
        <v>414</v>
      </c>
      <c r="BO3" s="11" t="n">
        <v>45755</v>
      </c>
      <c r="BP3" s="6" t="n">
        <v>-2023.38</v>
      </c>
      <c r="BQ3" s="0" t="s">
        <v>588</v>
      </c>
      <c r="BR3" s="11" t="n">
        <v>45667</v>
      </c>
      <c r="BS3" s="6" t="n">
        <v>-144.15</v>
      </c>
      <c r="BT3" s="0" t="s">
        <v>425</v>
      </c>
      <c r="BU3" s="11" t="n">
        <v>45695</v>
      </c>
      <c r="BV3" s="6" t="n">
        <v>-4230.11</v>
      </c>
      <c r="BW3" s="0" t="s">
        <v>588</v>
      </c>
      <c r="BX3" s="11" t="n">
        <v>45700</v>
      </c>
      <c r="BY3" s="6" t="n">
        <v>-667.47</v>
      </c>
      <c r="BZ3" s="0" t="s">
        <v>588</v>
      </c>
      <c r="CA3" s="11" t="n">
        <v>46001</v>
      </c>
      <c r="CB3" s="6" t="n">
        <v>-8682.55</v>
      </c>
      <c r="CC3" s="0" t="s">
        <v>588</v>
      </c>
    </row>
    <row collapsed="false" customFormat="false" customHeight="false" hidden="false" ht="12.1" outlineLevel="0" r="4">
      <c r="A4" s="11" t="n">
        <v>45880</v>
      </c>
      <c r="B4" s="6" t="n">
        <v>-6591.57</v>
      </c>
      <c r="C4" s="0" t="s">
        <v>588</v>
      </c>
      <c r="D4" s="11" t="n">
        <v>45484</v>
      </c>
      <c r="E4" s="6" t="n">
        <v>-290</v>
      </c>
      <c r="F4" s="0" t="s">
        <v>335</v>
      </c>
      <c r="G4" s="0"/>
      <c r="H4" s="10" t="s">
        <f>=XIRR(H2:H3,G2:G3)</f>
      </c>
      <c r="I4" s="0"/>
      <c r="J4" s="11" t="n">
        <v>44960</v>
      </c>
      <c r="K4" s="6" t="n">
        <v>-1002.39</v>
      </c>
      <c r="L4" s="0" t="s">
        <v>588</v>
      </c>
      <c r="M4" s="0"/>
      <c r="N4" s="10" t="s">
        <f>=XIRR(N2:N3,M2:M3)</f>
      </c>
      <c r="O4" s="0"/>
      <c r="P4" s="11" t="n">
        <v>44875</v>
      </c>
      <c r="Q4" s="6" t="n">
        <v>380.21</v>
      </c>
      <c r="R4" s="0" t="s">
        <v>587</v>
      </c>
      <c r="S4" s="11" t="n">
        <v>45435</v>
      </c>
      <c r="T4" s="6" t="n">
        <v>583.29</v>
      </c>
      <c r="U4" s="0" t="s">
        <v>587</v>
      </c>
      <c r="V4" s="0"/>
      <c r="W4" s="8" t="s">
        <f>=-SUM(W2:W2)</f>
      </c>
      <c r="X4" s="0" t="s">
        <v>591</v>
      </c>
      <c r="Y4" s="11" t="n">
        <v>44803</v>
      </c>
      <c r="Z4" s="6" t="n">
        <v>444.27</v>
      </c>
      <c r="AA4" s="0" t="s">
        <v>587</v>
      </c>
      <c r="AB4" s="11" t="n">
        <v>44895</v>
      </c>
      <c r="AC4" s="6" t="n">
        <v>-1351.92</v>
      </c>
      <c r="AD4" s="0" t="s">
        <v>588</v>
      </c>
      <c r="AE4" s="11" t="n">
        <v>45335</v>
      </c>
      <c r="AF4" s="6" t="n">
        <v>-35.08</v>
      </c>
      <c r="AG4" s="0" t="s">
        <v>285</v>
      </c>
      <c r="AH4" s="11" t="n">
        <v>45468</v>
      </c>
      <c r="AI4" s="6" t="n">
        <v>-55.32</v>
      </c>
      <c r="AJ4" s="0" t="s">
        <v>305</v>
      </c>
      <c r="AK4" s="11" t="n">
        <v>45407</v>
      </c>
      <c r="AL4" s="6" t="n">
        <v>-77.76</v>
      </c>
      <c r="AM4" s="0" t="s">
        <v>286</v>
      </c>
      <c r="AN4" s="11" t="n">
        <v>45391</v>
      </c>
      <c r="AO4" s="6" t="n">
        <v>-77.76</v>
      </c>
      <c r="AP4" s="0" t="s">
        <v>283</v>
      </c>
      <c r="AQ4" s="11" t="n">
        <v>45547</v>
      </c>
      <c r="AR4" s="6" t="n">
        <v>-103.08</v>
      </c>
      <c r="AS4" s="0" t="s">
        <v>299</v>
      </c>
      <c r="AT4" s="11" t="n">
        <v>45560</v>
      </c>
      <c r="AU4" s="6" t="n">
        <v>-94.7</v>
      </c>
      <c r="AV4" s="0" t="s">
        <v>307</v>
      </c>
      <c r="AW4" s="11" t="n">
        <v>45433</v>
      </c>
      <c r="AX4" s="6" t="n">
        <v>-82.74</v>
      </c>
      <c r="AY4" s="0" t="s">
        <v>292</v>
      </c>
      <c r="AZ4" s="11" t="n">
        <v>45609</v>
      </c>
      <c r="BA4" s="6" t="n">
        <v>-310.5</v>
      </c>
      <c r="BB4" s="0" t="s">
        <v>316</v>
      </c>
      <c r="BC4" s="0"/>
      <c r="BD4" s="10" t="s">
        <f>=XIRR(BD2:BD3,BC2:BC3)</f>
      </c>
      <c r="BE4" s="0"/>
      <c r="BF4" s="0"/>
      <c r="BG4" s="10" t="s">
        <f>=XIRR(BG2:BG3,BF2:BF3)</f>
      </c>
      <c r="BH4" s="0"/>
      <c r="BI4" s="11" t="n">
        <v>45852</v>
      </c>
      <c r="BJ4" s="6" t="n">
        <v>-67.77</v>
      </c>
      <c r="BK4" s="0" t="s">
        <v>496</v>
      </c>
      <c r="BL4" s="11" t="n">
        <v>45772</v>
      </c>
      <c r="BM4" s="6" t="n">
        <v>-635</v>
      </c>
      <c r="BN4" s="0" t="s">
        <v>454</v>
      </c>
      <c r="BO4" s="0"/>
      <c r="BP4" s="10" t="s">
        <f>=XIRR(BP2:BP3,BO2:BO3)</f>
      </c>
      <c r="BQ4" s="0"/>
      <c r="BR4" s="11" t="n">
        <v>45758</v>
      </c>
      <c r="BS4" s="6" t="n">
        <v>-144.15</v>
      </c>
      <c r="BT4" s="0" t="s">
        <v>425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0"/>
      <c r="CB4" s="10" t="s">
        <f>=XIRR(CB2:CB3,CA2:CA3)</f>
      </c>
      <c r="CC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45855</v>
      </c>
      <c r="E5" s="6" t="n">
        <v>-3249.9</v>
      </c>
      <c r="F5" s="0" t="s">
        <v>588</v>
      </c>
      <c r="G5" s="0"/>
      <c r="H5" s="8" t="s">
        <f>=-SUM(H2:H3)</f>
      </c>
      <c r="I5" s="0" t="s">
        <v>591</v>
      </c>
      <c r="J5" s="0"/>
      <c r="K5" s="10" t="s">
        <f>=XIRR(K2:K4,J2:J4)</f>
      </c>
      <c r="L5" s="0"/>
      <c r="M5" s="0"/>
      <c r="N5" s="8" t="s">
        <f>=-SUM(N2:N3)</f>
      </c>
      <c r="O5" s="0" t="s">
        <v>591</v>
      </c>
      <c r="P5" s="11" t="n">
        <v>44950</v>
      </c>
      <c r="Q5" s="6" t="n">
        <v>-425.87</v>
      </c>
      <c r="R5" s="0" t="s">
        <v>588</v>
      </c>
      <c r="S5" s="11" t="n">
        <v>45461</v>
      </c>
      <c r="T5" s="6" t="n">
        <v>-659.17</v>
      </c>
      <c r="U5" s="0" t="s">
        <v>588</v>
      </c>
      <c r="V5" s="0"/>
      <c r="W5" s="0"/>
      <c r="X5" s="0"/>
      <c r="Y5" s="11" t="n">
        <v>45931</v>
      </c>
      <c r="Z5" s="6" t="n">
        <v>-133.09</v>
      </c>
      <c r="AA5" s="0" t="s">
        <v>588</v>
      </c>
      <c r="AB5" s="0"/>
      <c r="AC5" s="10" t="s">
        <f>=XIRR(AC2:AC4,AB2:AB4)</f>
      </c>
      <c r="AD5" s="0"/>
      <c r="AE5" s="11" t="n">
        <v>45365</v>
      </c>
      <c r="AF5" s="6" t="n">
        <v>-35.08</v>
      </c>
      <c r="AG5" s="0" t="s">
        <v>285</v>
      </c>
      <c r="AH5" s="11" t="n">
        <v>45559</v>
      </c>
      <c r="AI5" s="6" t="n">
        <v>-55.32</v>
      </c>
      <c r="AJ5" s="0" t="s">
        <v>305</v>
      </c>
      <c r="AK5" s="11" t="n">
        <v>45498</v>
      </c>
      <c r="AL5" s="6" t="n">
        <v>-77.76</v>
      </c>
      <c r="AM5" s="0" t="s">
        <v>286</v>
      </c>
      <c r="AN5" s="11" t="n">
        <v>45482</v>
      </c>
      <c r="AO5" s="6" t="n">
        <v>-77.76</v>
      </c>
      <c r="AP5" s="0" t="s">
        <v>283</v>
      </c>
      <c r="AQ5" s="11" t="n">
        <v>45546</v>
      </c>
      <c r="AR5" s="6" t="n">
        <v>-3000</v>
      </c>
      <c r="AS5" s="0" t="s">
        <v>362</v>
      </c>
      <c r="AT5" s="11" t="n">
        <v>45559</v>
      </c>
      <c r="AU5" s="6" t="n">
        <v>-660</v>
      </c>
      <c r="AV5" s="0" t="s">
        <v>367</v>
      </c>
      <c r="AW5" s="11" t="n">
        <v>45524</v>
      </c>
      <c r="AX5" s="6" t="n">
        <v>-14</v>
      </c>
      <c r="AY5" s="0" t="s">
        <v>350</v>
      </c>
      <c r="AZ5" s="11" t="n">
        <v>45791</v>
      </c>
      <c r="BA5" s="6" t="n">
        <v>-310.5</v>
      </c>
      <c r="BB5" s="0" t="s">
        <v>316</v>
      </c>
      <c r="BC5" s="0"/>
      <c r="BD5" s="8" t="s">
        <f>=-SUM(BD2:BD3)</f>
      </c>
      <c r="BE5" s="0" t="s">
        <v>591</v>
      </c>
      <c r="BF5" s="0"/>
      <c r="BG5" s="8" t="s">
        <f>=-SUM(BG2:BG3)</f>
      </c>
      <c r="BH5" s="0" t="s">
        <v>591</v>
      </c>
      <c r="BI5" s="11" t="n">
        <v>46057</v>
      </c>
      <c r="BJ5" s="6" t="n">
        <v>-2809.92</v>
      </c>
      <c r="BK5" s="0" t="s">
        <v>588</v>
      </c>
      <c r="BL5" s="11" t="n">
        <v>45901</v>
      </c>
      <c r="BM5" s="6" t="n">
        <v>-21600.7</v>
      </c>
      <c r="BN5" s="0" t="s">
        <v>588</v>
      </c>
      <c r="BO5" s="0"/>
      <c r="BP5" s="8" t="s">
        <f>=-SUM(BP2:BP3)</f>
      </c>
      <c r="BQ5" s="0" t="s">
        <v>591</v>
      </c>
      <c r="BR5" s="11" t="n">
        <v>45849</v>
      </c>
      <c r="BS5" s="6" t="n">
        <v>-144.15</v>
      </c>
      <c r="BT5" s="0" t="s">
        <v>425</v>
      </c>
      <c r="BU5" s="0"/>
      <c r="BV5" s="8" t="s">
        <f>=-SUM(BV2:BV3)</f>
      </c>
      <c r="BW5" s="0" t="s">
        <v>591</v>
      </c>
      <c r="BX5" s="0"/>
      <c r="BY5" s="8" t="s">
        <f>=-SUM(BY2:BY3)</f>
      </c>
      <c r="BZ5" s="0" t="s">
        <v>591</v>
      </c>
      <c r="CA5" s="0"/>
      <c r="CB5" s="8" t="s">
        <f>=-SUM(CB2:CB3)</f>
      </c>
      <c r="CC5" s="0" t="s">
        <v>591</v>
      </c>
    </row>
    <row collapsed="false" customFormat="false" customHeight="false" hidden="false" ht="12.1" outlineLevel="0" r="6">
      <c r="A6" s="0"/>
      <c r="B6" s="8" t="s">
        <f>=-SUM(B2:B4)</f>
      </c>
      <c r="C6" s="0" t="s">
        <v>591</v>
      </c>
      <c r="D6" s="0"/>
      <c r="E6" s="10" t="s">
        <f>=XIRR(E2:E5,D2:D5)</f>
      </c>
      <c r="F6" s="0"/>
      <c r="G6" s="0"/>
      <c r="H6" s="0"/>
      <c r="I6" s="0"/>
      <c r="J6" s="0"/>
      <c r="K6" s="8" t="s">
        <f>=-SUM(K2:K4)</f>
      </c>
      <c r="L6" s="0" t="s">
        <v>591</v>
      </c>
      <c r="M6" s="0"/>
      <c r="N6" s="0"/>
      <c r="O6" s="0"/>
      <c r="P6" s="0"/>
      <c r="Q6" s="10" t="s">
        <f>=XIRR(Q2:Q5,P2:P5)</f>
      </c>
      <c r="R6" s="0"/>
      <c r="S6" s="11" t="n">
        <v>45492</v>
      </c>
      <c r="T6" s="6" t="n">
        <v>588.8</v>
      </c>
      <c r="U6" s="0" t="s">
        <v>587</v>
      </c>
      <c r="V6" s="0"/>
      <c r="W6" s="0"/>
      <c r="X6" s="0"/>
      <c r="Y6" s="0"/>
      <c r="Z6" s="10" t="s">
        <f>=XIRR(Z2:Z5,Y2:Y5)</f>
      </c>
      <c r="AA6" s="0"/>
      <c r="AB6" s="0"/>
      <c r="AC6" s="8" t="s">
        <f>=-SUM(AC2:AC4)</f>
      </c>
      <c r="AD6" s="0" t="s">
        <v>591</v>
      </c>
      <c r="AE6" s="11" t="n">
        <v>45395</v>
      </c>
      <c r="AF6" s="6" t="n">
        <v>-35.08</v>
      </c>
      <c r="AG6" s="0" t="s">
        <v>285</v>
      </c>
      <c r="AH6" s="11" t="n">
        <v>45650</v>
      </c>
      <c r="AI6" s="6" t="n">
        <v>-55.32</v>
      </c>
      <c r="AJ6" s="0" t="s">
        <v>305</v>
      </c>
      <c r="AK6" s="11" t="n">
        <v>45509</v>
      </c>
      <c r="AL6" s="6" t="n">
        <v>1903.07</v>
      </c>
      <c r="AM6" s="0" t="s">
        <v>587</v>
      </c>
      <c r="AN6" s="11" t="n">
        <v>45573</v>
      </c>
      <c r="AO6" s="6" t="n">
        <v>-77.76</v>
      </c>
      <c r="AP6" s="0" t="s">
        <v>283</v>
      </c>
      <c r="AQ6" s="0"/>
      <c r="AR6" s="10" t="s">
        <f>=XIRR(AR2:AR5,AQ2:AQ5)</f>
      </c>
      <c r="AS6" s="0"/>
      <c r="AT6" s="11" t="n">
        <v>45742</v>
      </c>
      <c r="AU6" s="6" t="n">
        <v>-63.82</v>
      </c>
      <c r="AV6" s="0" t="s">
        <v>446</v>
      </c>
      <c r="AW6" s="11" t="n">
        <v>45615</v>
      </c>
      <c r="AX6" s="6" t="n">
        <v>-82.74</v>
      </c>
      <c r="AY6" s="0" t="s">
        <v>292</v>
      </c>
      <c r="AZ6" s="11" t="n">
        <v>45973</v>
      </c>
      <c r="BA6" s="6" t="n">
        <v>-310.5</v>
      </c>
      <c r="BB6" s="0" t="s">
        <v>316</v>
      </c>
      <c r="BC6" s="0"/>
      <c r="BD6" s="0"/>
      <c r="BE6" s="0"/>
      <c r="BF6" s="0"/>
      <c r="BG6" s="0"/>
      <c r="BH6" s="0"/>
      <c r="BI6" s="0"/>
      <c r="BJ6" s="10" t="s">
        <f>=XIRR(BJ2:BJ5,BI2:BI5)</f>
      </c>
      <c r="BK6" s="0"/>
      <c r="BL6" s="0"/>
      <c r="BM6" s="10" t="s">
        <f>=XIRR(BM2:BM5,BL2:BL5)</f>
      </c>
      <c r="BN6" s="0"/>
      <c r="BO6" s="0"/>
      <c r="BP6" s="0"/>
      <c r="BQ6" s="0"/>
      <c r="BR6" s="11" t="n">
        <v>45848</v>
      </c>
      <c r="BS6" s="6" t="n">
        <v>-5000</v>
      </c>
      <c r="BT6" s="0" t="s">
        <v>493</v>
      </c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591</v>
      </c>
      <c r="G7" s="0"/>
      <c r="H7" s="0"/>
      <c r="I7" s="0"/>
      <c r="J7" s="0"/>
      <c r="K7" s="0"/>
      <c r="L7" s="0"/>
      <c r="M7" s="0"/>
      <c r="N7" s="0"/>
      <c r="O7" s="0"/>
      <c r="P7" s="0"/>
      <c r="Q7" s="8" t="s">
        <f>=-SUM(Q2:Q5)</f>
      </c>
      <c r="R7" s="0" t="s">
        <v>591</v>
      </c>
      <c r="S7" s="11" t="n">
        <v>45499</v>
      </c>
      <c r="T7" s="6" t="n">
        <v>-679.45</v>
      </c>
      <c r="U7" s="0" t="s">
        <v>588</v>
      </c>
      <c r="V7" s="0"/>
      <c r="W7" s="0"/>
      <c r="X7" s="0"/>
      <c r="Y7" s="0"/>
      <c r="Z7" s="8" t="s">
        <f>=-SUM(Z2:Z5)</f>
      </c>
      <c r="AA7" s="0" t="s">
        <v>591</v>
      </c>
      <c r="AB7" s="0"/>
      <c r="AC7" s="0"/>
      <c r="AD7" s="0"/>
      <c r="AE7" s="11" t="n">
        <v>45425</v>
      </c>
      <c r="AF7" s="6" t="n">
        <v>-35.08</v>
      </c>
      <c r="AG7" s="0" t="s">
        <v>285</v>
      </c>
      <c r="AH7" s="11" t="n">
        <v>45741</v>
      </c>
      <c r="AI7" s="6" t="n">
        <v>-55.32</v>
      </c>
      <c r="AJ7" s="0" t="s">
        <v>305</v>
      </c>
      <c r="AK7" s="11" t="n">
        <v>45589</v>
      </c>
      <c r="AL7" s="6" t="n">
        <v>-156.52</v>
      </c>
      <c r="AM7" s="0" t="s">
        <v>383</v>
      </c>
      <c r="AN7" s="11" t="n">
        <v>45664</v>
      </c>
      <c r="AO7" s="6" t="n">
        <v>-77.76</v>
      </c>
      <c r="AP7" s="0" t="s">
        <v>283</v>
      </c>
      <c r="AQ7" s="0"/>
      <c r="AR7" s="8" t="s">
        <f>=-SUM(AR2:AR5)</f>
      </c>
      <c r="AS7" s="0" t="s">
        <v>591</v>
      </c>
      <c r="AT7" s="11" t="n">
        <v>45741</v>
      </c>
      <c r="AU7" s="6" t="n">
        <v>-660</v>
      </c>
      <c r="AV7" s="0" t="s">
        <v>367</v>
      </c>
      <c r="AW7" s="11" t="n">
        <v>45706</v>
      </c>
      <c r="AX7" s="6" t="n">
        <v>-82.74</v>
      </c>
      <c r="AY7" s="0" t="s">
        <v>292</v>
      </c>
      <c r="AZ7" s="11" t="n">
        <v>45972</v>
      </c>
      <c r="BA7" s="6" t="n">
        <v>-10000</v>
      </c>
      <c r="BB7" s="0" t="s">
        <v>542</v>
      </c>
      <c r="BC7" s="0"/>
      <c r="BD7" s="0"/>
      <c r="BE7" s="0"/>
      <c r="BF7" s="0"/>
      <c r="BG7" s="0"/>
      <c r="BH7" s="0"/>
      <c r="BI7" s="0"/>
      <c r="BJ7" s="8" t="s">
        <f>=-SUM(BJ2:BJ5)</f>
      </c>
      <c r="BK7" s="0" t="s">
        <v>591</v>
      </c>
      <c r="BL7" s="0"/>
      <c r="BM7" s="8" t="s">
        <f>=-SUM(BM2:BM5)</f>
      </c>
      <c r="BN7" s="0" t="s">
        <v>591</v>
      </c>
      <c r="BO7" s="0"/>
      <c r="BP7" s="0"/>
      <c r="BQ7" s="0"/>
      <c r="BR7" s="0"/>
      <c r="BS7" s="10" t="s">
        <f>=XIRR(BS2:BS6,BR2:BR6)</f>
      </c>
      <c r="BT7" s="0"/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11" t="n">
        <v>45532</v>
      </c>
      <c r="T8" s="6" t="n">
        <v>566.95</v>
      </c>
      <c r="U8" s="0" t="s">
        <v>587</v>
      </c>
      <c r="V8" s="0"/>
      <c r="W8" s="0"/>
      <c r="X8" s="0"/>
      <c r="Y8" s="0"/>
      <c r="Z8" s="0"/>
      <c r="AA8" s="0"/>
      <c r="AB8" s="0"/>
      <c r="AC8" s="0"/>
      <c r="AD8" s="0"/>
      <c r="AE8" s="11" t="n">
        <v>45455</v>
      </c>
      <c r="AF8" s="6" t="n">
        <v>-35.08</v>
      </c>
      <c r="AG8" s="0" t="s">
        <v>285</v>
      </c>
      <c r="AH8" s="11" t="n">
        <v>45832</v>
      </c>
      <c r="AI8" s="6" t="n">
        <v>-55.32</v>
      </c>
      <c r="AJ8" s="0" t="s">
        <v>305</v>
      </c>
      <c r="AK8" s="11" t="n">
        <v>45680</v>
      </c>
      <c r="AL8" s="6" t="n">
        <v>-156.52</v>
      </c>
      <c r="AM8" s="0" t="s">
        <v>383</v>
      </c>
      <c r="AN8" s="11" t="n">
        <v>45663</v>
      </c>
      <c r="AO8" s="6" t="n">
        <v>-2000</v>
      </c>
      <c r="AP8" s="0" t="s">
        <v>423</v>
      </c>
      <c r="AQ8" s="0"/>
      <c r="AR8" s="0"/>
      <c r="AS8" s="0"/>
      <c r="AT8" s="11" t="n">
        <v>45924</v>
      </c>
      <c r="AU8" s="6" t="n">
        <v>-31.96</v>
      </c>
      <c r="AV8" s="0" t="s">
        <v>525</v>
      </c>
      <c r="AW8" s="11" t="n">
        <v>45797</v>
      </c>
      <c r="AX8" s="6" t="n">
        <v>-82.74</v>
      </c>
      <c r="AY8" s="0" t="s">
        <v>292</v>
      </c>
      <c r="AZ8" s="0"/>
      <c r="BA8" s="10" t="s">
        <f>=XIRR(BA2:BA7,AZ2:AZ7)</f>
      </c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8" t="s">
        <f>=-SUM(BS2:BS6)</f>
      </c>
      <c r="BT8" s="0" t="s">
        <v>591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11" t="n">
        <v>45551</v>
      </c>
      <c r="T9" s="6" t="n">
        <v>326.26</v>
      </c>
      <c r="U9" s="0" t="s">
        <v>587</v>
      </c>
      <c r="V9" s="0"/>
      <c r="W9" s="0"/>
      <c r="X9" s="0"/>
      <c r="Y9" s="0"/>
      <c r="Z9" s="0"/>
      <c r="AA9" s="0"/>
      <c r="AB9" s="0"/>
      <c r="AC9" s="0"/>
      <c r="AD9" s="0"/>
      <c r="AE9" s="11" t="n">
        <v>45485</v>
      </c>
      <c r="AF9" s="6" t="n">
        <v>-35.08</v>
      </c>
      <c r="AG9" s="0" t="s">
        <v>285</v>
      </c>
      <c r="AH9" s="11" t="n">
        <v>45923</v>
      </c>
      <c r="AI9" s="6" t="n">
        <v>-55.32</v>
      </c>
      <c r="AJ9" s="0" t="s">
        <v>305</v>
      </c>
      <c r="AK9" s="11" t="n">
        <v>45771</v>
      </c>
      <c r="AL9" s="6" t="n">
        <v>-156.52</v>
      </c>
      <c r="AM9" s="0" t="s">
        <v>383</v>
      </c>
      <c r="AN9" s="0"/>
      <c r="AO9" s="10" t="s">
        <f>=XIRR(AO2:AO8,AN2:AN8)</f>
      </c>
      <c r="AP9" s="0"/>
      <c r="AQ9" s="0"/>
      <c r="AR9" s="0"/>
      <c r="AS9" s="0"/>
      <c r="AT9" s="11" t="n">
        <v>45923</v>
      </c>
      <c r="AU9" s="6" t="n">
        <v>-680</v>
      </c>
      <c r="AV9" s="0" t="s">
        <v>524</v>
      </c>
      <c r="AW9" s="11" t="n">
        <v>45796</v>
      </c>
      <c r="AX9" s="6" t="n">
        <v>-500</v>
      </c>
      <c r="AY9" s="0" t="s">
        <v>463</v>
      </c>
      <c r="AZ9" s="0"/>
      <c r="BA9" s="8" t="s">
        <f>=-SUM(BA2:BA7)</f>
      </c>
      <c r="BB9" s="0" t="s">
        <v>591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11" t="n">
        <v>45561</v>
      </c>
      <c r="T10" s="6" t="n">
        <v>-646.99</v>
      </c>
      <c r="U10" s="0" t="s">
        <v>588</v>
      </c>
      <c r="V10" s="0"/>
      <c r="W10" s="0"/>
      <c r="X10" s="0"/>
      <c r="Y10" s="0"/>
      <c r="Z10" s="0"/>
      <c r="AA10" s="0"/>
      <c r="AB10" s="0"/>
      <c r="AC10" s="0"/>
      <c r="AD10" s="0"/>
      <c r="AE10" s="11" t="n">
        <v>45515</v>
      </c>
      <c r="AF10" s="6" t="n">
        <v>-35.08</v>
      </c>
      <c r="AG10" s="0" t="s">
        <v>285</v>
      </c>
      <c r="AH10" s="11" t="n">
        <v>46014</v>
      </c>
      <c r="AI10" s="6" t="n">
        <v>-55.32</v>
      </c>
      <c r="AJ10" s="0" t="s">
        <v>305</v>
      </c>
      <c r="AK10" s="11" t="n">
        <v>45862</v>
      </c>
      <c r="AL10" s="6" t="n">
        <v>-278.12</v>
      </c>
      <c r="AM10" s="0" t="s">
        <v>502</v>
      </c>
      <c r="AN10" s="0"/>
      <c r="AO10" s="8" t="s">
        <f>=-SUM(AO2:AO8)</f>
      </c>
      <c r="AP10" s="0" t="s">
        <v>591</v>
      </c>
      <c r="AQ10" s="0"/>
      <c r="AR10" s="0"/>
      <c r="AS10" s="0"/>
      <c r="AT10" s="0"/>
      <c r="AU10" s="10" t="s">
        <f>=XIRR(AU2:AU9,AT2:AT9)</f>
      </c>
      <c r="AV10" s="0"/>
      <c r="AW10" s="11" t="n">
        <v>45888</v>
      </c>
      <c r="AX10" s="6" t="n">
        <v>-62.06</v>
      </c>
      <c r="AY10" s="0" t="s">
        <v>512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11" t="n">
        <v>45565</v>
      </c>
      <c r="T11" s="6" t="n">
        <v>-402.88</v>
      </c>
      <c r="U11" s="0" t="s">
        <v>588</v>
      </c>
      <c r="V11" s="0"/>
      <c r="W11" s="0"/>
      <c r="X11" s="0"/>
      <c r="Y11" s="0"/>
      <c r="Z11" s="0"/>
      <c r="AA11" s="0"/>
      <c r="AB11" s="0"/>
      <c r="AC11" s="0"/>
      <c r="AD11" s="0"/>
      <c r="AE11" s="11" t="n">
        <v>45545</v>
      </c>
      <c r="AF11" s="6" t="n">
        <v>-35.08</v>
      </c>
      <c r="AG11" s="0" t="s">
        <v>285</v>
      </c>
      <c r="AH11" s="11" t="n">
        <v>46013</v>
      </c>
      <c r="AI11" s="6" t="n">
        <v>-2000</v>
      </c>
      <c r="AJ11" s="0" t="s">
        <v>560</v>
      </c>
      <c r="AK11" s="11" t="n">
        <v>45923</v>
      </c>
      <c r="AL11" s="6" t="n">
        <v>-4306.65</v>
      </c>
      <c r="AM11" s="0" t="s">
        <v>588</v>
      </c>
      <c r="AN11" s="0"/>
      <c r="AO11" s="0"/>
      <c r="AP11" s="0"/>
      <c r="AQ11" s="0"/>
      <c r="AR11" s="0"/>
      <c r="AS11" s="0"/>
      <c r="AT11" s="0"/>
      <c r="AU11" s="8" t="s">
        <f>=-SUM(AU2:AU9)</f>
      </c>
      <c r="AV11" s="0" t="s">
        <v>591</v>
      </c>
      <c r="AW11" s="11" t="n">
        <v>45887</v>
      </c>
      <c r="AX11" s="6" t="n">
        <v>-500</v>
      </c>
      <c r="AY11" s="0" t="s">
        <v>463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11" t="n">
        <v>45593</v>
      </c>
      <c r="T12" s="6" t="n">
        <v>9877.94</v>
      </c>
      <c r="U12" s="0" t="s">
        <v>587</v>
      </c>
      <c r="V12" s="0"/>
      <c r="W12" s="0"/>
      <c r="X12" s="0"/>
      <c r="Y12" s="0"/>
      <c r="Z12" s="0"/>
      <c r="AA12" s="0"/>
      <c r="AB12" s="0"/>
      <c r="AC12" s="0"/>
      <c r="AD12" s="0"/>
      <c r="AE12" s="11" t="n">
        <v>45575</v>
      </c>
      <c r="AF12" s="6" t="n">
        <v>-35.08</v>
      </c>
      <c r="AG12" s="0" t="s">
        <v>285</v>
      </c>
      <c r="AH12" s="0"/>
      <c r="AI12" s="10" t="s">
        <f>=XIRR(AI2:AI11,AH2:AH11)</f>
      </c>
      <c r="AJ12" s="0"/>
      <c r="AK12" s="0"/>
      <c r="AL12" s="10" t="s">
        <f>=XIRR(AL2:AL11,AK2:AK11)</f>
      </c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11" t="n">
        <v>45901</v>
      </c>
      <c r="AX12" s="6" t="n">
        <v>-244.46</v>
      </c>
      <c r="AY12" s="0" t="s">
        <v>588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11" t="n">
        <v>45602</v>
      </c>
      <c r="T13" s="6" t="n">
        <v>-11762.58</v>
      </c>
      <c r="U13" s="0" t="s">
        <v>588</v>
      </c>
      <c r="V13" s="0"/>
      <c r="W13" s="0"/>
      <c r="X13" s="0"/>
      <c r="Y13" s="0"/>
      <c r="Z13" s="0"/>
      <c r="AA13" s="0"/>
      <c r="AB13" s="0"/>
      <c r="AC13" s="0"/>
      <c r="AD13" s="0"/>
      <c r="AE13" s="11" t="n">
        <v>45605</v>
      </c>
      <c r="AF13" s="6" t="n">
        <v>-35.08</v>
      </c>
      <c r="AG13" s="0" t="s">
        <v>285</v>
      </c>
      <c r="AH13" s="0"/>
      <c r="AI13" s="8" t="s">
        <f>=-SUM(AI2:AI11)</f>
      </c>
      <c r="AJ13" s="0" t="s">
        <v>591</v>
      </c>
      <c r="AK13" s="0"/>
      <c r="AL13" s="8" t="s">
        <f>=-SUM(AL2:AL11)</f>
      </c>
      <c r="AM13" s="0" t="s">
        <v>591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10" t="s">
        <f>=XIRR(AX2:AX12,AW2:AW12)</f>
      </c>
      <c r="AY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10" t="s">
        <f>=XIRR(T2:T13,S2:S13)</f>
      </c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45635</v>
      </c>
      <c r="AF14" s="6" t="n">
        <v>-35.08</v>
      </c>
      <c r="AG14" s="0" t="s">
        <v>285</v>
      </c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8" t="s">
        <f>=-SUM(AX2:AX12)</f>
      </c>
      <c r="AY14" s="0" t="s">
        <v>591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8" t="s">
        <f>=-SUM(T2:T13)</f>
      </c>
      <c r="U15" s="0" t="s">
        <v>591</v>
      </c>
      <c r="V15" s="0"/>
      <c r="W15" s="0"/>
      <c r="X15" s="0"/>
      <c r="Y15" s="0"/>
      <c r="Z15" s="0"/>
      <c r="AA15" s="0"/>
      <c r="AB15" s="0"/>
      <c r="AC15" s="0"/>
      <c r="AD15" s="0"/>
      <c r="AE15" s="11" t="n">
        <v>45634</v>
      </c>
      <c r="AF15" s="6" t="n">
        <v>-3000</v>
      </c>
      <c r="AG15" s="0" t="s">
        <v>407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10" t="s">
        <f>=XIRR(AF2:AF15,AE2:AE15)</f>
      </c>
      <c r="AG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8" t="s">
        <f>=-SUM(AF2:AF15)</f>
      </c>
      <c r="AG17" s="0" t="s">
        <v>591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R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619</v>
      </c>
      <c r="C1" s="0"/>
      <c r="D1" s="0"/>
      <c r="E1" s="3" t="s">
        <v>620</v>
      </c>
      <c r="F1" s="0"/>
      <c r="G1" s="0"/>
      <c r="H1" s="3" t="s">
        <v>621</v>
      </c>
      <c r="I1" s="0"/>
      <c r="J1" s="0"/>
      <c r="K1" s="3" t="s">
        <v>622</v>
      </c>
      <c r="L1" s="0"/>
      <c r="M1" s="0"/>
      <c r="N1" s="3" t="s">
        <v>623</v>
      </c>
      <c r="O1" s="0"/>
      <c r="P1" s="0"/>
      <c r="Q1" s="3" t="s">
        <v>624</v>
      </c>
      <c r="R1" s="0"/>
      <c r="S1" s="0"/>
      <c r="T1" s="3" t="s">
        <v>625</v>
      </c>
      <c r="U1" s="0"/>
      <c r="V1" s="0"/>
      <c r="W1" s="3" t="s">
        <v>626</v>
      </c>
      <c r="X1" s="0"/>
      <c r="Y1" s="0"/>
      <c r="Z1" s="3" t="s">
        <v>627</v>
      </c>
      <c r="AA1" s="0"/>
      <c r="AB1" s="0"/>
      <c r="AC1" s="3" t="s">
        <v>628</v>
      </c>
      <c r="AD1" s="0"/>
      <c r="AE1" s="0"/>
      <c r="AF1" s="3" t="s">
        <v>629</v>
      </c>
      <c r="AG1" s="0"/>
      <c r="AH1" s="0"/>
      <c r="AI1" s="3" t="s">
        <v>630</v>
      </c>
      <c r="AJ1" s="0"/>
      <c r="AK1" s="0"/>
      <c r="AL1" s="3" t="s">
        <v>631</v>
      </c>
      <c r="AM1" s="0"/>
      <c r="AN1" s="0"/>
      <c r="AO1" s="3" t="s">
        <v>632</v>
      </c>
      <c r="AP1" s="0"/>
      <c r="AQ1" s="0"/>
      <c r="AR1" s="3" t="s">
        <v>633</v>
      </c>
      <c r="AS1" s="0"/>
      <c r="AT1" s="0"/>
      <c r="AU1" s="3" t="s">
        <v>634</v>
      </c>
      <c r="AV1" s="0"/>
      <c r="AW1" s="0"/>
      <c r="AX1" s="3" t="s">
        <v>635</v>
      </c>
      <c r="AY1" s="0"/>
      <c r="AZ1" s="0"/>
      <c r="BA1" s="3" t="s">
        <v>636</v>
      </c>
      <c r="BB1" s="0"/>
      <c r="BC1" s="0"/>
      <c r="BD1" s="3" t="s">
        <v>637</v>
      </c>
      <c r="BE1" s="0"/>
      <c r="BF1" s="0"/>
      <c r="BG1" s="3" t="s">
        <v>638</v>
      </c>
      <c r="BH1" s="0"/>
      <c r="BI1" s="0"/>
      <c r="BJ1" s="3" t="s">
        <v>639</v>
      </c>
      <c r="BK1" s="0"/>
      <c r="BL1" s="0"/>
      <c r="BM1" s="3" t="s">
        <v>640</v>
      </c>
      <c r="BN1" s="0"/>
      <c r="BO1" s="0"/>
      <c r="BP1" s="3" t="s">
        <v>641</v>
      </c>
      <c r="BQ1" s="0"/>
      <c r="BR1" s="0"/>
      <c r="BS1" s="3" t="s">
        <v>642</v>
      </c>
      <c r="BT1" s="0"/>
      <c r="BU1" s="0"/>
      <c r="BV1" s="3" t="s">
        <v>643</v>
      </c>
      <c r="BW1" s="0"/>
      <c r="BX1" s="0"/>
      <c r="BY1" s="3" t="s">
        <v>644</v>
      </c>
      <c r="BZ1" s="0"/>
      <c r="CA1" s="0"/>
      <c r="CB1" s="3" t="s">
        <v>645</v>
      </c>
      <c r="CC1" s="0"/>
      <c r="CD1" s="0"/>
      <c r="CE1" s="3" t="s">
        <v>646</v>
      </c>
      <c r="CF1" s="0"/>
      <c r="CG1" s="0"/>
      <c r="CH1" s="3" t="s">
        <v>647</v>
      </c>
      <c r="CI1" s="0"/>
      <c r="CJ1" s="0"/>
      <c r="CK1" s="3" t="s">
        <v>648</v>
      </c>
      <c r="CL1" s="0"/>
      <c r="CM1" s="0"/>
      <c r="CN1" s="3" t="s">
        <v>649</v>
      </c>
      <c r="CO1" s="0"/>
      <c r="CP1" s="0"/>
      <c r="CQ1" s="3" t="s">
        <v>650</v>
      </c>
      <c r="CR1" s="0"/>
      <c r="CS1" s="0"/>
      <c r="CT1" s="3" t="s">
        <v>651</v>
      </c>
      <c r="CU1" s="0"/>
      <c r="CV1" s="0"/>
      <c r="CW1" s="3" t="s">
        <v>652</v>
      </c>
      <c r="CX1" s="0"/>
      <c r="CY1" s="0"/>
      <c r="CZ1" s="3" t="s">
        <v>653</v>
      </c>
      <c r="DA1" s="0"/>
      <c r="DB1" s="0"/>
      <c r="DC1" s="3" t="s">
        <v>654</v>
      </c>
      <c r="DD1" s="0"/>
      <c r="DE1" s="0"/>
      <c r="DF1" s="3" t="s">
        <v>655</v>
      </c>
      <c r="DG1" s="0"/>
      <c r="DH1" s="0"/>
      <c r="DI1" s="3" t="s">
        <v>656</v>
      </c>
      <c r="DJ1" s="0"/>
      <c r="DK1" s="0"/>
      <c r="DL1" s="3" t="s">
        <v>657</v>
      </c>
      <c r="DM1" s="0"/>
      <c r="DN1" s="0"/>
      <c r="DO1" s="3" t="s">
        <v>658</v>
      </c>
      <c r="DP1" s="0"/>
      <c r="DQ1" s="0"/>
      <c r="DR1" s="3" t="s">
        <v>659</v>
      </c>
      <c r="DS1" s="0"/>
      <c r="DT1" s="0"/>
      <c r="DU1" s="3" t="s">
        <v>660</v>
      </c>
      <c r="DV1" s="0"/>
      <c r="DW1" s="0"/>
      <c r="DX1" s="3" t="s">
        <v>661</v>
      </c>
      <c r="DY1" s="0"/>
      <c r="DZ1" s="0"/>
      <c r="EA1" s="3" t="s">
        <v>662</v>
      </c>
      <c r="EB1" s="0"/>
      <c r="EC1" s="0"/>
      <c r="ED1" s="3" t="s">
        <v>663</v>
      </c>
      <c r="EE1" s="0"/>
      <c r="EF1" s="0"/>
      <c r="EG1" s="3" t="s">
        <v>664</v>
      </c>
      <c r="EH1" s="0"/>
      <c r="EI1" s="0"/>
      <c r="EJ1" s="3" t="s">
        <v>665</v>
      </c>
      <c r="EK1" s="0"/>
      <c r="EL1" s="0"/>
      <c r="EM1" s="3" t="s">
        <v>666</v>
      </c>
      <c r="EN1" s="0"/>
      <c r="EO1" s="0"/>
      <c r="EP1" s="3" t="s">
        <v>667</v>
      </c>
      <c r="EQ1" s="0"/>
      <c r="ER1" s="0"/>
      <c r="ES1" s="3" t="s">
        <v>668</v>
      </c>
      <c r="ET1" s="0"/>
      <c r="EU1" s="0"/>
      <c r="EV1" s="3" t="s">
        <v>669</v>
      </c>
      <c r="EW1" s="0"/>
      <c r="EX1" s="0"/>
      <c r="EY1" s="3" t="s">
        <v>670</v>
      </c>
      <c r="EZ1" s="0"/>
      <c r="FA1" s="0"/>
      <c r="FB1" s="3" t="s">
        <v>671</v>
      </c>
      <c r="FC1" s="0"/>
      <c r="FD1" s="0"/>
      <c r="FE1" s="3" t="s">
        <v>672</v>
      </c>
      <c r="FF1" s="0"/>
      <c r="FG1" s="0"/>
      <c r="FH1" s="3" t="s">
        <v>673</v>
      </c>
      <c r="FI1" s="0"/>
      <c r="FJ1" s="0"/>
      <c r="FK1" s="3" t="s">
        <v>674</v>
      </c>
      <c r="FL1" s="0"/>
      <c r="FM1" s="0"/>
      <c r="FN1" s="3" t="s">
        <v>675</v>
      </c>
      <c r="FO1" s="0"/>
      <c r="FP1" s="0"/>
      <c r="FQ1" s="3" t="s">
        <v>676</v>
      </c>
      <c r="FR1" s="0"/>
      <c r="FS1" s="0"/>
      <c r="FT1" s="3" t="s">
        <v>677</v>
      </c>
      <c r="FU1" s="0"/>
      <c r="FV1" s="0"/>
      <c r="FW1" s="3" t="s">
        <v>678</v>
      </c>
      <c r="FX1" s="0"/>
      <c r="FY1" s="0"/>
      <c r="FZ1" s="3" t="s">
        <v>679</v>
      </c>
      <c r="GA1" s="0"/>
      <c r="GB1" s="0"/>
      <c r="GC1" s="3" t="s">
        <v>680</v>
      </c>
      <c r="GD1" s="0"/>
      <c r="GE1" s="0"/>
      <c r="GF1" s="3" t="s">
        <v>681</v>
      </c>
      <c r="GG1" s="0"/>
      <c r="GH1" s="0"/>
      <c r="GI1" s="3" t="s">
        <v>682</v>
      </c>
      <c r="GJ1" s="0"/>
      <c r="GK1" s="0"/>
      <c r="GL1" s="3" t="s">
        <v>683</v>
      </c>
      <c r="GM1" s="0"/>
      <c r="GN1" s="0"/>
      <c r="GO1" s="3" t="s">
        <v>684</v>
      </c>
      <c r="GP1" s="0"/>
      <c r="GQ1" s="0"/>
      <c r="GR1" s="3" t="s">
        <v>685</v>
      </c>
      <c r="GS1" s="0"/>
      <c r="GT1" s="0"/>
      <c r="GU1" s="3" t="s">
        <v>686</v>
      </c>
      <c r="GV1" s="0"/>
      <c r="GW1" s="0"/>
      <c r="GX1" s="3" t="s">
        <v>687</v>
      </c>
      <c r="GY1" s="0"/>
      <c r="GZ1" s="0"/>
      <c r="HA1" s="3" t="s">
        <v>688</v>
      </c>
      <c r="HB1" s="0"/>
      <c r="HC1" s="0"/>
      <c r="HD1" s="3" t="s">
        <v>689</v>
      </c>
      <c r="HE1" s="0"/>
      <c r="HF1" s="0"/>
      <c r="HG1" s="3" t="s">
        <v>690</v>
      </c>
      <c r="HH1" s="0"/>
      <c r="HI1" s="0"/>
      <c r="HJ1" s="3" t="s">
        <v>691</v>
      </c>
      <c r="HK1" s="0"/>
      <c r="HL1" s="0"/>
      <c r="HM1" s="3" t="s">
        <v>692</v>
      </c>
      <c r="HN1" s="0"/>
      <c r="HO1" s="0"/>
      <c r="HP1" s="3" t="s">
        <v>693</v>
      </c>
      <c r="HQ1" s="0"/>
      <c r="HR1" s="0"/>
      <c r="HS1" s="3" t="s">
        <v>694</v>
      </c>
      <c r="HT1" s="0"/>
      <c r="HU1" s="0"/>
      <c r="HV1" s="3" t="s">
        <v>695</v>
      </c>
      <c r="HW1" s="0"/>
      <c r="HX1" s="0"/>
      <c r="HY1" s="3" t="s">
        <v>696</v>
      </c>
      <c r="HZ1" s="0"/>
      <c r="IA1" s="0"/>
      <c r="IB1" s="3" t="s">
        <v>697</v>
      </c>
      <c r="IC1" s="0"/>
      <c r="ID1" s="0"/>
      <c r="IE1" s="3" t="s">
        <v>698</v>
      </c>
      <c r="IF1" s="0"/>
      <c r="IG1" s="0"/>
      <c r="IH1" s="3" t="s">
        <v>699</v>
      </c>
      <c r="II1" s="0"/>
      <c r="IJ1" s="0"/>
      <c r="IK1" s="3" t="s">
        <v>700</v>
      </c>
      <c r="IL1" s="0"/>
      <c r="IM1" s="0"/>
      <c r="IN1" s="3" t="s">
        <v>701</v>
      </c>
      <c r="IO1" s="0"/>
      <c r="IP1" s="0"/>
      <c r="IQ1" s="3" t="s">
        <v>702</v>
      </c>
      <c r="IR1" s="0"/>
    </row>
    <row collapsed="false" customFormat="false" customHeight="false" hidden="false" ht="12.1" outlineLevel="0" r="2">
      <c r="A2" s="11" t="n">
        <v>44644</v>
      </c>
      <c r="B2" s="6" t="n">
        <v>1</v>
      </c>
      <c r="C2" s="6" t="n">
        <v>311.74</v>
      </c>
      <c r="D2" s="11" t="n">
        <v>45943</v>
      </c>
      <c r="E2" s="6" t="n">
        <v>10000</v>
      </c>
      <c r="F2" s="6" t="n">
        <v>6369.5</v>
      </c>
      <c r="G2" s="11" t="n">
        <v>44700</v>
      </c>
      <c r="H2" s="6" t="n">
        <v>100</v>
      </c>
      <c r="I2" s="6" t="n">
        <v>3642.18</v>
      </c>
      <c r="J2" s="11" t="n">
        <v>45621</v>
      </c>
      <c r="K2" s="6" t="n">
        <v>20</v>
      </c>
      <c r="L2" s="6" t="n">
        <v>4607.68</v>
      </c>
      <c r="M2" s="11" t="n">
        <v>45971</v>
      </c>
      <c r="N2" s="6" t="n">
        <v>100</v>
      </c>
      <c r="O2" s="6" t="n">
        <v>7051.64</v>
      </c>
      <c r="P2" s="11" t="n">
        <v>45527</v>
      </c>
      <c r="Q2" s="6" t="n">
        <v>400</v>
      </c>
      <c r="R2" s="6" t="n">
        <v>3241.62</v>
      </c>
      <c r="S2" s="11" t="n">
        <v>45607</v>
      </c>
      <c r="T2" s="6" t="n">
        <v>50</v>
      </c>
      <c r="U2" s="6" t="n">
        <v>5626.5</v>
      </c>
      <c r="V2" s="11" t="n">
        <v>45495</v>
      </c>
      <c r="W2" s="6" t="n">
        <v>200</v>
      </c>
      <c r="X2" s="6" t="n">
        <v>3116.5</v>
      </c>
      <c r="Y2" s="11" t="n">
        <v>45474</v>
      </c>
      <c r="Z2" s="6" t="n">
        <v>1</v>
      </c>
      <c r="AA2" s="6" t="n">
        <v>6424.64</v>
      </c>
      <c r="AB2" s="11" t="n">
        <v>45323</v>
      </c>
      <c r="AC2" s="6" t="n">
        <v>2</v>
      </c>
      <c r="AD2" s="6" t="n">
        <v>1718.98</v>
      </c>
      <c r="AE2" s="11" t="n">
        <v>45530</v>
      </c>
      <c r="AF2" s="6" t="n">
        <v>2</v>
      </c>
      <c r="AG2" s="6" t="n">
        <v>1316.96</v>
      </c>
      <c r="AH2" s="11" t="n">
        <v>45348</v>
      </c>
      <c r="AI2" s="6" t="n">
        <v>5</v>
      </c>
      <c r="AJ2" s="6" t="n">
        <v>6705.36</v>
      </c>
      <c r="AK2" s="11" t="n">
        <v>44673</v>
      </c>
      <c r="AL2" s="6" t="n">
        <v>1</v>
      </c>
      <c r="AM2" s="6" t="n">
        <v>3802.28</v>
      </c>
      <c r="AN2" s="11" t="n">
        <v>45446</v>
      </c>
      <c r="AO2" s="6" t="n">
        <v>3000</v>
      </c>
      <c r="AP2" s="6" t="n">
        <v>2629.6</v>
      </c>
      <c r="AQ2" s="11" t="n">
        <v>45418</v>
      </c>
      <c r="AR2" s="6" t="n">
        <v>100</v>
      </c>
      <c r="AS2" s="6" t="n">
        <v>3568.85</v>
      </c>
      <c r="AT2" s="11" t="n">
        <v>45287</v>
      </c>
      <c r="AU2" s="6" t="n">
        <v>2</v>
      </c>
      <c r="AV2" s="6" t="n">
        <v>1361.08</v>
      </c>
      <c r="AW2" s="11" t="n">
        <v>45490</v>
      </c>
      <c r="AX2" s="6" t="n">
        <v>2</v>
      </c>
      <c r="AY2" s="6" t="n">
        <v>2877.31</v>
      </c>
      <c r="AZ2" s="11" t="n">
        <v>44670</v>
      </c>
      <c r="BA2" s="6" t="n">
        <v>100</v>
      </c>
      <c r="BB2" s="6" t="n">
        <v>1182.11</v>
      </c>
      <c r="BC2" s="11" t="n">
        <v>45483</v>
      </c>
      <c r="BD2" s="6" t="n">
        <v>50</v>
      </c>
      <c r="BE2" s="6" t="n">
        <v>3021.91</v>
      </c>
      <c r="BF2" s="11" t="n">
        <v>45532</v>
      </c>
      <c r="BG2" s="6" t="n">
        <v>10</v>
      </c>
      <c r="BH2" s="6" t="n">
        <v>1137.11</v>
      </c>
      <c r="BI2" s="11" t="n">
        <v>45474</v>
      </c>
      <c r="BJ2" s="6" t="n">
        <v>10</v>
      </c>
      <c r="BK2" s="6" t="n">
        <v>1777.83</v>
      </c>
      <c r="BL2" s="11" t="n">
        <v>44644</v>
      </c>
      <c r="BM2" s="6" t="n">
        <v>10</v>
      </c>
      <c r="BN2" s="6" t="n">
        <v>927.55</v>
      </c>
      <c r="BO2" s="11" t="n">
        <v>45036</v>
      </c>
      <c r="BP2" s="6" t="n">
        <v>2</v>
      </c>
      <c r="BQ2" s="6" t="n">
        <v>1210.61</v>
      </c>
      <c r="BR2" s="11" t="n">
        <v>44659</v>
      </c>
      <c r="BS2" s="6" t="n">
        <v>10</v>
      </c>
      <c r="BT2" s="6" t="n">
        <v>853.42</v>
      </c>
      <c r="BU2" s="11" t="n">
        <v>44761</v>
      </c>
      <c r="BV2" s="6" t="n">
        <v>1000</v>
      </c>
      <c r="BW2" s="6" t="n">
        <v>1428.85</v>
      </c>
      <c r="BX2" s="11" t="n">
        <v>45454</v>
      </c>
      <c r="BY2" s="6" t="n">
        <v>5</v>
      </c>
      <c r="BZ2" s="6" t="n">
        <v>1495.45</v>
      </c>
      <c r="CA2" s="11" t="n">
        <v>45491</v>
      </c>
      <c r="CB2" s="6" t="n">
        <v>2</v>
      </c>
      <c r="CC2" s="6" t="n">
        <v>1718.88</v>
      </c>
      <c r="CD2" s="11" t="n">
        <v>45272</v>
      </c>
      <c r="CE2" s="6" t="n">
        <v>20</v>
      </c>
      <c r="CF2" s="6" t="n">
        <v>1403.52</v>
      </c>
      <c r="CG2" s="11" t="n">
        <v>44649</v>
      </c>
      <c r="CH2" s="6" t="n">
        <v>100</v>
      </c>
      <c r="CI2" s="6" t="n">
        <v>193.12</v>
      </c>
      <c r="CJ2" s="11" t="n">
        <v>45530</v>
      </c>
      <c r="CK2" s="6" t="n">
        <v>1</v>
      </c>
      <c r="CL2" s="6" t="n">
        <v>2699.76</v>
      </c>
      <c r="CM2" s="11" t="n">
        <v>44673</v>
      </c>
      <c r="CN2" s="6" t="n">
        <v>10</v>
      </c>
      <c r="CO2" s="6" t="n">
        <v>2072.85</v>
      </c>
      <c r="CP2" s="11" t="n">
        <v>44734</v>
      </c>
      <c r="CQ2" s="6" t="n">
        <v>10</v>
      </c>
      <c r="CR2" s="6" t="n">
        <v>440.07</v>
      </c>
      <c r="CS2" s="11" t="n">
        <v>45530</v>
      </c>
      <c r="CT2" s="6" t="n">
        <v>1</v>
      </c>
      <c r="CU2" s="6" t="n">
        <v>1243.79</v>
      </c>
      <c r="CV2" s="11" t="n">
        <v>44715</v>
      </c>
      <c r="CW2" s="6" t="n">
        <v>1</v>
      </c>
      <c r="CX2" s="6" t="n">
        <v>814.29</v>
      </c>
      <c r="CY2" s="11" t="n">
        <v>44938</v>
      </c>
      <c r="CZ2" s="6" t="n">
        <v>13402</v>
      </c>
      <c r="DA2" s="6" t="n">
        <v>1170.79872</v>
      </c>
      <c r="DB2" s="11" t="n">
        <v>44645</v>
      </c>
      <c r="DC2" s="6" t="n">
        <v>10</v>
      </c>
      <c r="DD2" s="6" t="n">
        <v>667.15</v>
      </c>
      <c r="DE2" s="11" t="n">
        <v>45401</v>
      </c>
      <c r="DF2" s="6" t="n">
        <v>3</v>
      </c>
      <c r="DG2" s="6" t="n">
        <v>1665.83</v>
      </c>
      <c r="DH2" s="11" t="n">
        <v>44873</v>
      </c>
      <c r="DI2" s="6" t="n">
        <v>1</v>
      </c>
      <c r="DJ2" s="6" t="n">
        <v>498.25</v>
      </c>
      <c r="DK2" s="11" t="n">
        <v>44670</v>
      </c>
      <c r="DL2" s="6" t="n">
        <v>10</v>
      </c>
      <c r="DM2" s="6" t="n">
        <v>767.05</v>
      </c>
      <c r="DN2" s="11" t="n">
        <v>44648</v>
      </c>
      <c r="DO2" s="6" t="n">
        <v>1</v>
      </c>
      <c r="DP2" s="6" t="n">
        <v>75.6</v>
      </c>
      <c r="DQ2" s="11" t="n">
        <v>45526</v>
      </c>
      <c r="DR2" s="6" t="n">
        <v>3</v>
      </c>
      <c r="DS2" s="6" t="n">
        <v>662.6</v>
      </c>
      <c r="DT2" s="11" t="n">
        <v>44746</v>
      </c>
      <c r="DU2" s="6" t="n">
        <v>10</v>
      </c>
      <c r="DV2" s="6" t="n">
        <v>320.19</v>
      </c>
      <c r="DW2" s="11" t="n">
        <v>44806</v>
      </c>
      <c r="DX2" s="6" t="n">
        <v>100</v>
      </c>
      <c r="DY2" s="6" t="n">
        <v>720.53</v>
      </c>
      <c r="DZ2" s="11" t="n">
        <v>45321</v>
      </c>
      <c r="EA2" s="6" t="n">
        <v>100</v>
      </c>
      <c r="EB2" s="6" t="n">
        <v>13964.19</v>
      </c>
      <c r="EC2" s="11" t="n">
        <v>45463</v>
      </c>
      <c r="ED2" s="6" t="n">
        <v>31</v>
      </c>
      <c r="EE2" s="6" t="n">
        <v>4232.77</v>
      </c>
      <c r="EF2" s="11" t="n">
        <v>45324</v>
      </c>
      <c r="EG2" s="6" t="n">
        <v>600</v>
      </c>
      <c r="EH2" s="6" t="n">
        <v>80815.714285714</v>
      </c>
      <c r="EI2" s="11" t="n">
        <v>45950</v>
      </c>
      <c r="EJ2" s="6" t="n">
        <v>27338</v>
      </c>
      <c r="EK2" s="6" t="n">
        <v>49943.7922</v>
      </c>
      <c r="EL2" s="11" t="n">
        <v>44894</v>
      </c>
      <c r="EM2" s="6" t="n">
        <v>1100</v>
      </c>
      <c r="EN2" s="6" t="n">
        <v>970.60071428571</v>
      </c>
      <c r="EO2" s="11" t="n">
        <v>45369</v>
      </c>
      <c r="EP2" s="6" t="n">
        <v>10</v>
      </c>
      <c r="EQ2" s="6" t="n">
        <v>6285.66</v>
      </c>
      <c r="ER2" s="11" t="n">
        <v>45369</v>
      </c>
      <c r="ES2" s="6" t="n">
        <v>10</v>
      </c>
      <c r="ET2" s="6" t="n">
        <v>6515.97</v>
      </c>
      <c r="EU2" s="11" t="n">
        <v>45509</v>
      </c>
      <c r="EV2" s="6" t="n">
        <v>47</v>
      </c>
      <c r="EW2" s="6" t="n">
        <v>33041.43</v>
      </c>
      <c r="EX2" s="11" t="n">
        <v>45369</v>
      </c>
      <c r="EY2" s="6" t="n">
        <v>10</v>
      </c>
      <c r="EZ2" s="6" t="n">
        <v>9535.31</v>
      </c>
      <c r="FA2" s="11" t="n">
        <v>45280</v>
      </c>
      <c r="FB2" s="6" t="n">
        <v>3</v>
      </c>
      <c r="FC2" s="6" t="n">
        <v>2951.07</v>
      </c>
      <c r="FD2" s="11" t="n">
        <v>45379</v>
      </c>
      <c r="FE2" s="6" t="n">
        <v>10</v>
      </c>
      <c r="FF2" s="6" t="n">
        <v>7727.6</v>
      </c>
      <c r="FG2" s="11" t="n">
        <v>45551</v>
      </c>
      <c r="FH2" s="6" t="n">
        <v>20</v>
      </c>
      <c r="FI2" s="6" t="n">
        <v>17071.5</v>
      </c>
      <c r="FJ2" s="11" t="n">
        <v>45307</v>
      </c>
      <c r="FK2" s="6" t="n">
        <v>5</v>
      </c>
      <c r="FL2" s="6" t="n">
        <v>4174.34</v>
      </c>
      <c r="FM2" s="11" t="n">
        <v>45551</v>
      </c>
      <c r="FN2" s="6" t="n">
        <v>20</v>
      </c>
      <c r="FO2" s="6" t="n">
        <v>14846.15</v>
      </c>
      <c r="FP2" s="11" t="n">
        <v>45365</v>
      </c>
      <c r="FQ2" s="6" t="n">
        <v>10</v>
      </c>
      <c r="FR2" s="6" t="n">
        <v>9631.88</v>
      </c>
      <c r="FS2" s="11" t="n">
        <v>45551</v>
      </c>
      <c r="FT2" s="6" t="n">
        <v>20</v>
      </c>
      <c r="FU2" s="6" t="n">
        <v>16988.44</v>
      </c>
      <c r="FV2" s="11" t="n">
        <v>45551</v>
      </c>
      <c r="FW2" s="6" t="n">
        <v>20</v>
      </c>
      <c r="FX2" s="6" t="n">
        <v>17048.48</v>
      </c>
      <c r="FY2" s="11" t="n">
        <v>45391</v>
      </c>
      <c r="FZ2" s="6" t="n">
        <v>7</v>
      </c>
      <c r="GA2" s="6" t="n">
        <v>5379.14</v>
      </c>
      <c r="GB2" s="11" t="n">
        <v>45327</v>
      </c>
      <c r="GC2" s="6" t="n">
        <v>10</v>
      </c>
      <c r="GD2" s="6" t="n">
        <v>9441.04</v>
      </c>
      <c r="GE2" s="11" t="n">
        <v>45273</v>
      </c>
      <c r="GF2" s="6" t="n">
        <v>1</v>
      </c>
      <c r="GG2" s="6" t="n">
        <v>957.93</v>
      </c>
      <c r="GH2" s="11" t="n">
        <v>45391</v>
      </c>
      <c r="GI2" s="6" t="n">
        <v>7</v>
      </c>
      <c r="GJ2" s="6" t="n">
        <v>5245.04</v>
      </c>
      <c r="GK2" s="11" t="n">
        <v>46001</v>
      </c>
      <c r="GL2" s="6" t="n">
        <v>9</v>
      </c>
      <c r="GM2" s="6" t="n">
        <v>8531.54</v>
      </c>
      <c r="GN2" s="11" t="n">
        <v>45509</v>
      </c>
      <c r="GO2" s="6" t="n">
        <v>10</v>
      </c>
      <c r="GP2" s="6" t="n">
        <v>7356.81</v>
      </c>
      <c r="GQ2" s="11" t="n">
        <v>46015</v>
      </c>
      <c r="GR2" s="6" t="n">
        <v>5</v>
      </c>
      <c r="GS2" s="6" t="n">
        <v>5380.94</v>
      </c>
      <c r="GT2" s="11" t="n">
        <v>45307</v>
      </c>
      <c r="GU2" s="6" t="n">
        <v>2</v>
      </c>
      <c r="GV2" s="6" t="n">
        <v>2002.26</v>
      </c>
      <c r="GW2" s="11" t="n">
        <v>45604</v>
      </c>
      <c r="GX2" s="6" t="n">
        <v>5</v>
      </c>
      <c r="GY2" s="6" t="n">
        <v>4631.77</v>
      </c>
      <c r="GZ2" s="11" t="n">
        <v>45307</v>
      </c>
      <c r="HA2" s="6" t="n">
        <v>5</v>
      </c>
      <c r="HB2" s="6" t="n">
        <v>4654.22</v>
      </c>
      <c r="HC2" s="11" t="n">
        <v>46015</v>
      </c>
      <c r="HD2" s="6" t="n">
        <v>5</v>
      </c>
      <c r="HE2" s="6" t="n">
        <v>5068.37</v>
      </c>
      <c r="HF2" s="11" t="n">
        <v>45495</v>
      </c>
      <c r="HG2" s="6" t="n">
        <v>5</v>
      </c>
      <c r="HH2" s="6" t="n">
        <v>4205.91</v>
      </c>
      <c r="HI2" s="11" t="n">
        <v>45321</v>
      </c>
      <c r="HJ2" s="6" t="n">
        <v>3</v>
      </c>
      <c r="HK2" s="6" t="n">
        <v>2710.37</v>
      </c>
      <c r="HL2" s="11" t="n">
        <v>45307</v>
      </c>
      <c r="HM2" s="6" t="n">
        <v>2</v>
      </c>
      <c r="HN2" s="6" t="n">
        <v>1910.39</v>
      </c>
      <c r="HO2" s="11" t="n">
        <v>45308</v>
      </c>
      <c r="HP2" s="6" t="n">
        <v>5</v>
      </c>
      <c r="HQ2" s="6" t="n">
        <v>5094.78</v>
      </c>
      <c r="HR2" s="11" t="n">
        <v>45321</v>
      </c>
      <c r="HS2" s="6" t="n">
        <v>3</v>
      </c>
      <c r="HT2" s="6" t="n">
        <v>2803.7</v>
      </c>
      <c r="HU2" s="11" t="n">
        <v>45273</v>
      </c>
      <c r="HV2" s="6" t="n">
        <v>5</v>
      </c>
      <c r="HW2" s="6" t="n">
        <v>4872.85</v>
      </c>
      <c r="HX2" s="11" t="n">
        <v>45307</v>
      </c>
      <c r="HY2" s="6" t="n">
        <v>2</v>
      </c>
      <c r="HZ2" s="6" t="n">
        <v>2094.42</v>
      </c>
      <c r="IA2" s="11" t="n">
        <v>45273</v>
      </c>
      <c r="IB2" s="6" t="n">
        <v>2</v>
      </c>
      <c r="IC2" s="6" t="n">
        <v>1985.78</v>
      </c>
      <c r="ID2" s="11" t="n">
        <v>45324</v>
      </c>
      <c r="IE2" s="6" t="n">
        <v>7</v>
      </c>
      <c r="IF2" s="6" t="n">
        <v>6246.58</v>
      </c>
      <c r="IG2" s="11" t="n">
        <v>44960</v>
      </c>
      <c r="IH2" s="6" t="n">
        <v>1</v>
      </c>
      <c r="II2" s="6" t="n">
        <v>937.71</v>
      </c>
      <c r="IJ2" s="11" t="n">
        <v>45348</v>
      </c>
      <c r="IK2" s="6" t="n">
        <v>1</v>
      </c>
      <c r="IL2" s="6" t="n">
        <v>724.33</v>
      </c>
      <c r="IM2" s="11" t="n">
        <v>45488</v>
      </c>
      <c r="IN2" s="6" t="n">
        <v>10</v>
      </c>
      <c r="IO2" s="6" t="n">
        <v>6040.4</v>
      </c>
      <c r="IP2" s="0"/>
      <c r="IQ2" s="5" t="s">
        <f>=SUM(IR2:IR1)/SUM(IQ2:IQ1)</f>
      </c>
      <c r="IR2" s="0" t="s">
        <v>11</v>
      </c>
    </row>
    <row collapsed="false" customFormat="false" customHeight="false" hidden="false" ht="12.1" outlineLevel="0" r="3">
      <c r="A3" s="11" t="n">
        <v>44771</v>
      </c>
      <c r="B3" s="6" t="n">
        <v>1</v>
      </c>
      <c r="C3" s="6" t="n">
        <v>349.7</v>
      </c>
      <c r="D3" s="11" t="n">
        <v>45950</v>
      </c>
      <c r="E3" s="6" t="n">
        <v>25000</v>
      </c>
      <c r="F3" s="6" t="n">
        <v>15997.59</v>
      </c>
      <c r="G3" s="11" t="n">
        <v>45971</v>
      </c>
      <c r="H3" s="6" t="n">
        <v>300</v>
      </c>
      <c r="I3" s="6" t="n">
        <v>11556.23</v>
      </c>
      <c r="J3" s="11" t="n">
        <v>45623</v>
      </c>
      <c r="K3" s="6" t="n">
        <v>30</v>
      </c>
      <c r="L3" s="6" t="n">
        <v>6735.28</v>
      </c>
      <c r="M3" s="0"/>
      <c r="N3" s="5" t="s">
        <f>=SUM(O2:O2)/SUM(N2:N2)</f>
      </c>
      <c r="O3" s="0" t="s">
        <v>11</v>
      </c>
      <c r="P3" s="11" t="n">
        <v>45603</v>
      </c>
      <c r="Q3" s="6" t="n">
        <v>500</v>
      </c>
      <c r="R3" s="6" t="n">
        <v>4255.9</v>
      </c>
      <c r="S3" s="0"/>
      <c r="T3" s="5" t="s">
        <f>=SUM(U2:U2)/SUM(T2:T2)</f>
      </c>
      <c r="U3" s="0" t="s">
        <v>11</v>
      </c>
      <c r="V3" s="11" t="n">
        <v>45509</v>
      </c>
      <c r="W3" s="6" t="n">
        <v>300</v>
      </c>
      <c r="X3" s="6" t="n">
        <v>4260.4</v>
      </c>
      <c r="Y3" s="11" t="n">
        <v>45537</v>
      </c>
      <c r="Z3" s="6" t="n">
        <v>1</v>
      </c>
      <c r="AA3" s="6" t="n">
        <v>4667.72</v>
      </c>
      <c r="AB3" s="11" t="n">
        <v>45491</v>
      </c>
      <c r="AC3" s="6" t="n">
        <v>5</v>
      </c>
      <c r="AD3" s="6" t="n">
        <v>3003.4</v>
      </c>
      <c r="AE3" s="11" t="n">
        <v>45537</v>
      </c>
      <c r="AF3" s="6" t="n">
        <v>5</v>
      </c>
      <c r="AG3" s="6" t="n">
        <v>3204.31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11" t="n">
        <v>45537</v>
      </c>
      <c r="AO3" s="6" t="n">
        <v>3000</v>
      </c>
      <c r="AP3" s="6" t="n">
        <v>1789.13</v>
      </c>
      <c r="AQ3" s="11" t="n">
        <v>45454</v>
      </c>
      <c r="AR3" s="6" t="n">
        <v>100</v>
      </c>
      <c r="AS3" s="6" t="n">
        <v>2888.81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11" t="n">
        <v>44810</v>
      </c>
      <c r="BA3" s="6" t="n">
        <v>100</v>
      </c>
      <c r="BB3" s="6" t="n">
        <v>1450.87</v>
      </c>
      <c r="BC3" s="0"/>
      <c r="BD3" s="5" t="s">
        <f>=SUM(BE2:BE2)/SUM(BD2:BD2)</f>
      </c>
      <c r="BE3" s="0" t="s">
        <v>11</v>
      </c>
      <c r="BF3" s="11" t="n">
        <v>45931</v>
      </c>
      <c r="BG3" s="6" t="n">
        <v>10</v>
      </c>
      <c r="BH3" s="6" t="n">
        <v>1169.53</v>
      </c>
      <c r="BI3" s="11" t="n">
        <v>45484</v>
      </c>
      <c r="BJ3" s="6" t="n">
        <v>10</v>
      </c>
      <c r="BK3" s="6" t="n">
        <v>1664.33</v>
      </c>
      <c r="BL3" s="0"/>
      <c r="BM3" s="5" t="s">
        <f>=SUM(BN2:BN2)/SUM(BM2:BM2)</f>
      </c>
      <c r="BN3" s="0" t="s">
        <v>11</v>
      </c>
      <c r="BO3" s="11" t="n">
        <v>45044</v>
      </c>
      <c r="BP3" s="6" t="n">
        <v>1</v>
      </c>
      <c r="BQ3" s="6" t="n">
        <v>597.8</v>
      </c>
      <c r="BR3" s="11" t="n">
        <v>44727</v>
      </c>
      <c r="BS3" s="6" t="n">
        <v>10</v>
      </c>
      <c r="BT3" s="6" t="n">
        <v>664.9</v>
      </c>
      <c r="BU3" s="0"/>
      <c r="BV3" s="5" t="s">
        <f>=SUM(BW2:BW2)/SUM(BV2:BV2)</f>
      </c>
      <c r="BW3" s="0" t="s">
        <v>11</v>
      </c>
      <c r="BX3" s="11" t="n">
        <v>45491</v>
      </c>
      <c r="BY3" s="6" t="n">
        <v>5</v>
      </c>
      <c r="BZ3" s="6" t="n">
        <v>1248.19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11" t="n">
        <v>44777</v>
      </c>
      <c r="CH3" s="6" t="n">
        <v>100</v>
      </c>
      <c r="CI3" s="6" t="n">
        <v>312.34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11" t="n">
        <v>44798</v>
      </c>
      <c r="CQ3" s="6" t="n">
        <v>10</v>
      </c>
      <c r="CR3" s="6" t="n">
        <v>466.28</v>
      </c>
      <c r="CS3" s="0"/>
      <c r="CT3" s="5" t="s">
        <f>=SUM(CU2:CU2)/SUM(CT2:CT2)</f>
      </c>
      <c r="CU3" s="0" t="s">
        <v>11</v>
      </c>
      <c r="CV3" s="0"/>
      <c r="CW3" s="5" t="s">
        <f>=SUM(CX2:CX2)/SUM(CW2:CW2)</f>
      </c>
      <c r="CX3" s="0" t="s">
        <v>11</v>
      </c>
      <c r="CY3" s="0"/>
      <c r="CZ3" s="5" t="s">
        <f>=SUM(DA2:DA2)/SUM(CZ2:CZ2)</f>
      </c>
      <c r="DA3" s="0" t="s">
        <v>11</v>
      </c>
      <c r="DB3" s="11" t="n">
        <v>44820</v>
      </c>
      <c r="DC3" s="6" t="n">
        <v>10</v>
      </c>
      <c r="DD3" s="6" t="n">
        <v>480.24</v>
      </c>
      <c r="DE3" s="0"/>
      <c r="DF3" s="5" t="s">
        <f>=SUM(DG2:DG2)/SUM(DF2:DF2)</f>
      </c>
      <c r="DG3" s="0" t="s">
        <v>11</v>
      </c>
      <c r="DH3" s="0"/>
      <c r="DI3" s="5" t="s">
        <f>=SUM(DJ2:DJ2)/SUM(DI2:DI2)</f>
      </c>
      <c r="DJ3" s="0" t="s">
        <v>11</v>
      </c>
      <c r="DK3" s="0"/>
      <c r="DL3" s="5" t="s">
        <f>=SUM(DM2:DM2)/SUM(DL2:DL2)</f>
      </c>
      <c r="DM3" s="0" t="s">
        <v>11</v>
      </c>
      <c r="DN3" s="11" t="n">
        <v>44960</v>
      </c>
      <c r="DO3" s="6" t="n">
        <v>2</v>
      </c>
      <c r="DP3" s="6" t="n">
        <v>242.21</v>
      </c>
      <c r="DQ3" s="0"/>
      <c r="DR3" s="5" t="s">
        <f>=SUM(DS2:DS2)/SUM(DR2:DR2)</f>
      </c>
      <c r="DS3" s="0" t="s">
        <v>11</v>
      </c>
      <c r="DT3" s="0"/>
      <c r="DU3" s="5" t="s">
        <f>=SUM(DV2:DV2)/SUM(DU2:DU2)</f>
      </c>
      <c r="DV3" s="0" t="s">
        <v>11</v>
      </c>
      <c r="DW3" s="0"/>
      <c r="DX3" s="5" t="s">
        <f>=SUM(DY2:DY2)/SUM(DX2:DX2)</f>
      </c>
      <c r="DY3" s="0" t="s">
        <v>11</v>
      </c>
      <c r="DZ3" s="11" t="n">
        <v>45327</v>
      </c>
      <c r="EA3" s="6" t="n">
        <v>50</v>
      </c>
      <c r="EB3" s="6" t="n">
        <v>6989.09</v>
      </c>
      <c r="EC3" s="11" t="n">
        <v>45527</v>
      </c>
      <c r="ED3" s="6" t="n">
        <v>30</v>
      </c>
      <c r="EE3" s="6" t="n">
        <v>3755.63</v>
      </c>
      <c r="EF3" s="11" t="n">
        <v>45418</v>
      </c>
      <c r="EG3" s="6" t="n">
        <v>100</v>
      </c>
      <c r="EH3" s="6" t="n">
        <v>13674.8844</v>
      </c>
      <c r="EI3" s="11" t="n">
        <v>45951</v>
      </c>
      <c r="EJ3" s="6" t="n">
        <v>200</v>
      </c>
      <c r="EK3" s="6" t="n">
        <v>365.54</v>
      </c>
      <c r="EL3" s="11" t="n">
        <v>44895</v>
      </c>
      <c r="EM3" s="6" t="n">
        <v>1640</v>
      </c>
      <c r="EN3" s="6" t="n">
        <v>1453.23</v>
      </c>
      <c r="EO3" s="11" t="n">
        <v>45429</v>
      </c>
      <c r="EP3" s="6" t="n">
        <v>17</v>
      </c>
      <c r="EQ3" s="6" t="n">
        <v>10350.01</v>
      </c>
      <c r="ER3" s="11" t="n">
        <v>45429</v>
      </c>
      <c r="ES3" s="6" t="n">
        <v>20</v>
      </c>
      <c r="ET3" s="6" t="n">
        <v>12555.13</v>
      </c>
      <c r="EU3" s="11" t="n">
        <v>45560</v>
      </c>
      <c r="EV3" s="6" t="n">
        <v>3</v>
      </c>
      <c r="EW3" s="6" t="n">
        <v>2111.98</v>
      </c>
      <c r="EX3" s="11" t="n">
        <v>45378</v>
      </c>
      <c r="EY3" s="6" t="n">
        <v>10</v>
      </c>
      <c r="EZ3" s="6" t="n">
        <v>8963.55</v>
      </c>
      <c r="FA3" s="11" t="n">
        <v>45290</v>
      </c>
      <c r="FB3" s="6" t="n">
        <v>5</v>
      </c>
      <c r="FC3" s="6" t="n">
        <v>4484.4</v>
      </c>
      <c r="FD3" s="11" t="n">
        <v>45385</v>
      </c>
      <c r="FE3" s="6" t="n">
        <v>15</v>
      </c>
      <c r="FF3" s="6" t="n">
        <v>10662.89</v>
      </c>
      <c r="FG3" s="11" t="n">
        <v>45560</v>
      </c>
      <c r="FH3" s="6" t="n">
        <v>14</v>
      </c>
      <c r="FI3" s="6" t="n">
        <v>10959.03</v>
      </c>
      <c r="FJ3" s="11" t="n">
        <v>45327</v>
      </c>
      <c r="FK3" s="6" t="n">
        <v>5</v>
      </c>
      <c r="FL3" s="6" t="n">
        <v>4195.66</v>
      </c>
      <c r="FM3" s="11" t="n">
        <v>45573</v>
      </c>
      <c r="FN3" s="6" t="n">
        <v>14</v>
      </c>
      <c r="FO3" s="6" t="n">
        <v>10033.89</v>
      </c>
      <c r="FP3" s="11" t="n">
        <v>45434</v>
      </c>
      <c r="FQ3" s="6" t="n">
        <v>9</v>
      </c>
      <c r="FR3" s="6" t="n">
        <v>8108.84</v>
      </c>
      <c r="FS3" s="0"/>
      <c r="FT3" s="5" t="s">
        <f>=SUM(FU2:FU2)/SUM(FT2:FT2)</f>
      </c>
      <c r="FU3" s="0" t="s">
        <v>11</v>
      </c>
      <c r="FV3" s="0"/>
      <c r="FW3" s="5" t="s">
        <f>=SUM(FX2:FX2)/SUM(FW2:FW2)</f>
      </c>
      <c r="FX3" s="0" t="s">
        <v>11</v>
      </c>
      <c r="FY3" s="11" t="n">
        <v>45457</v>
      </c>
      <c r="FZ3" s="6" t="n">
        <v>10</v>
      </c>
      <c r="GA3" s="6" t="n">
        <v>7068.48</v>
      </c>
      <c r="GB3" s="11" t="n">
        <v>45341</v>
      </c>
      <c r="GC3" s="6" t="n">
        <v>5</v>
      </c>
      <c r="GD3" s="6" t="n">
        <v>4713.4</v>
      </c>
      <c r="GE3" s="11" t="n">
        <v>45297</v>
      </c>
      <c r="GF3" s="6" t="n">
        <v>3</v>
      </c>
      <c r="GG3" s="6" t="n">
        <v>2712.7</v>
      </c>
      <c r="GH3" s="11" t="n">
        <v>45407</v>
      </c>
      <c r="GI3" s="6" t="n">
        <v>5</v>
      </c>
      <c r="GJ3" s="6" t="n">
        <v>3398.29</v>
      </c>
      <c r="GK3" s="0"/>
      <c r="GL3" s="5" t="s">
        <f>=SUM(GM2:GM2)/SUM(GL2:GL2)</f>
      </c>
      <c r="GM3" s="0" t="s">
        <v>11</v>
      </c>
      <c r="GN3" s="0"/>
      <c r="GO3" s="5" t="s">
        <f>=SUM(GP2:GP2)/SUM(GO2:GO2)</f>
      </c>
      <c r="GP3" s="0" t="s">
        <v>11</v>
      </c>
      <c r="GQ3" s="0"/>
      <c r="GR3" s="5" t="s">
        <f>=SUM(GS2:GS2)/SUM(GR2:GR2)</f>
      </c>
      <c r="GS3" s="0" t="s">
        <v>11</v>
      </c>
      <c r="GT3" s="11" t="n">
        <v>45341</v>
      </c>
      <c r="GU3" s="6" t="n">
        <v>2</v>
      </c>
      <c r="GV3" s="6" t="n">
        <v>2013.7</v>
      </c>
      <c r="GW3" s="0"/>
      <c r="GX3" s="5" t="s">
        <f>=SUM(GY2:GY2)/SUM(GX2:GX2)</f>
      </c>
      <c r="GY3" s="0" t="s">
        <v>11</v>
      </c>
      <c r="GZ3" s="0"/>
      <c r="HA3" s="5" t="s">
        <f>=SUM(HB2:HB2)/SUM(HA2:HA2)</f>
      </c>
      <c r="HB3" s="0" t="s">
        <v>11</v>
      </c>
      <c r="HC3" s="0"/>
      <c r="HD3" s="5" t="s">
        <f>=SUM(HE2:HE2)/SUM(HD2:HD2)</f>
      </c>
      <c r="HE3" s="0" t="s">
        <v>11</v>
      </c>
      <c r="HF3" s="0"/>
      <c r="HG3" s="5" t="s">
        <f>=SUM(HH2:HH2)/SUM(HG2:HG2)</f>
      </c>
      <c r="HH3" s="0" t="s">
        <v>11</v>
      </c>
      <c r="HI3" s="11" t="n">
        <v>45341</v>
      </c>
      <c r="HJ3" s="6" t="n">
        <v>2</v>
      </c>
      <c r="HK3" s="6" t="n">
        <v>1814.64</v>
      </c>
      <c r="HL3" s="11" t="n">
        <v>45321</v>
      </c>
      <c r="HM3" s="6" t="n">
        <v>2</v>
      </c>
      <c r="HN3" s="6" t="n">
        <v>1917.37</v>
      </c>
      <c r="HO3" s="11" t="n">
        <v>45336</v>
      </c>
      <c r="HP3" s="6" t="n">
        <v>5</v>
      </c>
      <c r="HQ3" s="6" t="n">
        <v>5068.56</v>
      </c>
      <c r="HR3" s="0"/>
      <c r="HS3" s="5" t="s">
        <f>=SUM(HT2:HT2)/SUM(HS2:HS2)</f>
      </c>
      <c r="HT3" s="0" t="s">
        <v>11</v>
      </c>
      <c r="HU3" s="0"/>
      <c r="HV3" s="5" t="s">
        <f>=SUM(HW2:HW2)/SUM(HV2:HV2)</f>
      </c>
      <c r="HW3" s="0" t="s">
        <v>11</v>
      </c>
      <c r="HX3" s="0"/>
      <c r="HY3" s="5" t="s">
        <f>=SUM(HZ2:HZ2)/SUM(HY2:HY2)</f>
      </c>
      <c r="HZ3" s="0" t="s">
        <v>11</v>
      </c>
      <c r="IA3" s="0"/>
      <c r="IB3" s="5" t="s">
        <f>=SUM(IC2:IC2)/SUM(IB2:IB2)</f>
      </c>
      <c r="IC3" s="0" t="s">
        <v>11</v>
      </c>
      <c r="ID3" s="0"/>
      <c r="IE3" s="5" t="s">
        <f>=SUM(IF2:IF2)/SUM(IE2:IE2)</f>
      </c>
      <c r="IF3" s="0" t="s">
        <v>11</v>
      </c>
      <c r="IG3" s="0"/>
      <c r="IH3" s="5" t="s">
        <f>=SUM(II2:II2)/SUM(IH2:IH2)</f>
      </c>
      <c r="II3" s="0" t="s">
        <v>11</v>
      </c>
      <c r="IJ3" s="0"/>
      <c r="IK3" s="5" t="s">
        <f>=SUM(IL2:IL2)/SUM(IK2:IK2)</f>
      </c>
      <c r="IL3" s="0" t="s">
        <v>11</v>
      </c>
      <c r="IM3" s="0"/>
      <c r="IN3" s="5" t="s">
        <f>=SUM(IO2:IO2)/SUM(IN2:IN2)</f>
      </c>
      <c r="IO3" s="0" t="s">
        <v>11</v>
      </c>
      <c r="IP3" s="0"/>
      <c r="IQ3" s="6" t="n">
        <v>6.01</v>
      </c>
      <c r="IR3" s="0" t="s">
        <v>703</v>
      </c>
    </row>
    <row collapsed="false" customFormat="false" customHeight="false" hidden="false" ht="12.1" outlineLevel="0" r="4">
      <c r="A4" s="11" t="n">
        <v>45196</v>
      </c>
      <c r="B4" s="6" t="n">
        <v>1</v>
      </c>
      <c r="C4" s="6" t="n">
        <v>529.87</v>
      </c>
      <c r="D4" s="0"/>
      <c r="E4" s="5" t="s">
        <f>=SUM(F2:F3)/SUM(E2:E3)</f>
      </c>
      <c r="F4" s="0" t="s">
        <v>11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0"/>
      <c r="N4" s="6" t="n">
        <v>87.29</v>
      </c>
      <c r="O4" s="0" t="s">
        <v>703</v>
      </c>
      <c r="P4" s="0"/>
      <c r="Q4" s="5" t="s">
        <f>=SUM(R2:R3)/SUM(Q2:Q3)</f>
      </c>
      <c r="R4" s="0" t="s">
        <v>11</v>
      </c>
      <c r="S4" s="0"/>
      <c r="T4" s="6" t="n">
        <v>156.5</v>
      </c>
      <c r="U4" s="0" t="s">
        <v>703</v>
      </c>
      <c r="V4" s="0"/>
      <c r="W4" s="5" t="s">
        <f>=SUM(X2:X3)/SUM(W2:W3)</f>
      </c>
      <c r="X4" s="0" t="s">
        <v>11</v>
      </c>
      <c r="Y4" s="0"/>
      <c r="Z4" s="5" t="s">
        <f>=SUM(AA2:AA3)/SUM(Z2:Z3)</f>
      </c>
      <c r="AA4" s="0" t="s">
        <v>11</v>
      </c>
      <c r="AB4" s="0"/>
      <c r="AC4" s="5" t="s">
        <f>=SUM(AD2:AD3)/SUM(AC2:AC3)</f>
      </c>
      <c r="AD4" s="0" t="s">
        <v>11</v>
      </c>
      <c r="AE4" s="11" t="n">
        <v>45544</v>
      </c>
      <c r="AF4" s="6" t="n">
        <v>5</v>
      </c>
      <c r="AG4" s="6" t="n">
        <v>3344.18</v>
      </c>
      <c r="AH4" s="0"/>
      <c r="AI4" s="6" t="n">
        <v>1188.4</v>
      </c>
      <c r="AJ4" s="0" t="s">
        <v>703</v>
      </c>
      <c r="AK4" s="0"/>
      <c r="AL4" s="6" t="n">
        <v>5182.5</v>
      </c>
      <c r="AM4" s="0" t="s">
        <v>703</v>
      </c>
      <c r="AN4" s="0"/>
      <c r="AO4" s="5" t="s">
        <f>=SUM(AP2:AP3)/SUM(AO2:AO3)</f>
      </c>
      <c r="AP4" s="0" t="s">
        <v>11</v>
      </c>
      <c r="AQ4" s="0"/>
      <c r="AR4" s="5" t="s">
        <f>=SUM(AS2:AS3)/SUM(AR2:AR3)</f>
      </c>
      <c r="AS4" s="0" t="s">
        <v>11</v>
      </c>
      <c r="AT4" s="0"/>
      <c r="AU4" s="6" t="n">
        <v>2060.5</v>
      </c>
      <c r="AV4" s="0" t="s">
        <v>703</v>
      </c>
      <c r="AW4" s="0"/>
      <c r="AX4" s="6" t="n">
        <v>1416.8</v>
      </c>
      <c r="AY4" s="0" t="s">
        <v>703</v>
      </c>
      <c r="AZ4" s="0"/>
      <c r="BA4" s="5" t="s">
        <f>=SUM(BB2:BB3)/SUM(BA2:BA3)</f>
      </c>
      <c r="BB4" s="0" t="s">
        <v>11</v>
      </c>
      <c r="BC4" s="0"/>
      <c r="BD4" s="6" t="n">
        <v>54.94</v>
      </c>
      <c r="BE4" s="0" t="s">
        <v>703</v>
      </c>
      <c r="BF4" s="0"/>
      <c r="BG4" s="5" t="s">
        <f>=SUM(BH2:BH3)/SUM(BG2:BG3)</f>
      </c>
      <c r="BH4" s="0" t="s">
        <v>11</v>
      </c>
      <c r="BI4" s="0"/>
      <c r="BJ4" s="5" t="s">
        <f>=SUM(BK2:BK3)/SUM(BJ2:BJ3)</f>
      </c>
      <c r="BK4" s="0" t="s">
        <v>11</v>
      </c>
      <c r="BL4" s="0"/>
      <c r="BM4" s="6" t="n">
        <v>183.39</v>
      </c>
      <c r="BN4" s="0" t="s">
        <v>703</v>
      </c>
      <c r="BO4" s="11" t="n">
        <v>45083</v>
      </c>
      <c r="BP4" s="6" t="n">
        <v>1</v>
      </c>
      <c r="BQ4" s="6" t="n">
        <v>577.29</v>
      </c>
      <c r="BR4" s="11" t="n">
        <v>44746</v>
      </c>
      <c r="BS4" s="6" t="n">
        <v>10</v>
      </c>
      <c r="BT4" s="6" t="n">
        <v>645.89</v>
      </c>
      <c r="BU4" s="0"/>
      <c r="BV4" s="6" t="n">
        <v>1.614</v>
      </c>
      <c r="BW4" s="0" t="s">
        <v>703</v>
      </c>
      <c r="BX4" s="0"/>
      <c r="BY4" s="5" t="s">
        <f>=SUM(BZ2:BZ3)/SUM(BY2:BY3)</f>
      </c>
      <c r="BZ4" s="0" t="s">
        <v>11</v>
      </c>
      <c r="CA4" s="0"/>
      <c r="CB4" s="6" t="n">
        <v>659.9</v>
      </c>
      <c r="CC4" s="0" t="s">
        <v>703</v>
      </c>
      <c r="CD4" s="0"/>
      <c r="CE4" s="6" t="n">
        <v>64.08</v>
      </c>
      <c r="CF4" s="0" t="s">
        <v>703</v>
      </c>
      <c r="CG4" s="11" t="n">
        <v>45120</v>
      </c>
      <c r="CH4" s="6" t="n">
        <v>100</v>
      </c>
      <c r="CI4" s="6" t="n">
        <v>415.58</v>
      </c>
      <c r="CJ4" s="0"/>
      <c r="CK4" s="6" t="n">
        <v>1237.2</v>
      </c>
      <c r="CL4" s="0" t="s">
        <v>703</v>
      </c>
      <c r="CM4" s="0"/>
      <c r="CN4" s="6" t="n">
        <v>126.75</v>
      </c>
      <c r="CO4" s="0" t="s">
        <v>703</v>
      </c>
      <c r="CP4" s="0"/>
      <c r="CQ4" s="5" t="s">
        <f>=SUM(CR2:CR3)/SUM(CQ2:CQ3)</f>
      </c>
      <c r="CR4" s="0" t="s">
        <v>11</v>
      </c>
      <c r="CS4" s="0"/>
      <c r="CT4" s="6" t="n">
        <v>915.8</v>
      </c>
      <c r="CU4" s="0" t="s">
        <v>703</v>
      </c>
      <c r="CV4" s="0"/>
      <c r="CW4" s="6" t="n">
        <v>954</v>
      </c>
      <c r="CX4" s="0" t="s">
        <v>703</v>
      </c>
      <c r="CY4" s="0"/>
      <c r="CZ4" s="6" t="n">
        <v>0.07444</v>
      </c>
      <c r="DA4" s="0" t="s">
        <v>703</v>
      </c>
      <c r="DB4" s="0"/>
      <c r="DC4" s="5" t="s">
        <f>=SUM(DD2:DD3)/SUM(DC2:DC3)</f>
      </c>
      <c r="DD4" s="0" t="s">
        <v>11</v>
      </c>
      <c r="DE4" s="0"/>
      <c r="DF4" s="6" t="n">
        <v>266.75</v>
      </c>
      <c r="DG4" s="0" t="s">
        <v>703</v>
      </c>
      <c r="DH4" s="0"/>
      <c r="DI4" s="6" t="n">
        <v>706</v>
      </c>
      <c r="DJ4" s="0" t="s">
        <v>703</v>
      </c>
      <c r="DK4" s="0"/>
      <c r="DL4" s="6" t="n">
        <v>51.02</v>
      </c>
      <c r="DM4" s="0" t="s">
        <v>703</v>
      </c>
      <c r="DN4" s="0"/>
      <c r="DO4" s="5" t="s">
        <f>=SUM(DP2:DP3)/SUM(DO2:DO3)</f>
      </c>
      <c r="DP4" s="0" t="s">
        <v>11</v>
      </c>
      <c r="DQ4" s="0"/>
      <c r="DR4" s="6" t="n">
        <v>104.84</v>
      </c>
      <c r="DS4" s="0" t="s">
        <v>703</v>
      </c>
      <c r="DT4" s="0"/>
      <c r="DU4" s="6" t="n">
        <v>31.745</v>
      </c>
      <c r="DV4" s="0" t="s">
        <v>703</v>
      </c>
      <c r="DW4" s="0"/>
      <c r="DX4" s="6" t="n">
        <v>1.298</v>
      </c>
      <c r="DY4" s="0" t="s">
        <v>703</v>
      </c>
      <c r="DZ4" s="11" t="n">
        <v>45462</v>
      </c>
      <c r="EA4" s="6" t="n">
        <v>1</v>
      </c>
      <c r="EB4" s="6" t="n">
        <v>141.44</v>
      </c>
      <c r="EC4" s="11" t="n">
        <v>45537</v>
      </c>
      <c r="ED4" s="6" t="n">
        <v>4</v>
      </c>
      <c r="EE4" s="6" t="n">
        <v>487.55</v>
      </c>
      <c r="EF4" s="11" t="n">
        <v>45635</v>
      </c>
      <c r="EG4" s="6" t="n">
        <v>18</v>
      </c>
      <c r="EH4" s="6" t="n">
        <v>2871</v>
      </c>
      <c r="EI4" s="11" t="n">
        <v>45962</v>
      </c>
      <c r="EJ4" s="6" t="n">
        <v>120</v>
      </c>
      <c r="EK4" s="6" t="n">
        <v>220.46</v>
      </c>
      <c r="EL4" s="11" t="n">
        <v>45272</v>
      </c>
      <c r="EM4" s="6" t="n">
        <v>4000</v>
      </c>
      <c r="EN4" s="6" t="n">
        <v>5893.77</v>
      </c>
      <c r="EO4" s="11" t="n">
        <v>45447</v>
      </c>
      <c r="EP4" s="6" t="n">
        <v>10</v>
      </c>
      <c r="EQ4" s="6" t="n">
        <v>5499.57</v>
      </c>
      <c r="ER4" s="11" t="n">
        <v>45464</v>
      </c>
      <c r="ES4" s="6" t="n">
        <v>20</v>
      </c>
      <c r="ET4" s="6" t="n">
        <v>11651.91</v>
      </c>
      <c r="EU4" s="11" t="n">
        <v>45568</v>
      </c>
      <c r="EV4" s="6" t="n">
        <v>3</v>
      </c>
      <c r="EW4" s="6" t="n">
        <v>2055.76</v>
      </c>
      <c r="EX4" s="11" t="n">
        <v>45391</v>
      </c>
      <c r="EY4" s="6" t="n">
        <v>20</v>
      </c>
      <c r="EZ4" s="6" t="n">
        <v>16901.46</v>
      </c>
      <c r="FA4" s="11" t="n">
        <v>45320</v>
      </c>
      <c r="FB4" s="6" t="n">
        <v>23</v>
      </c>
      <c r="FC4" s="6" t="n">
        <v>21275.18</v>
      </c>
      <c r="FD4" s="11" t="n">
        <v>45429</v>
      </c>
      <c r="FE4" s="6" t="n">
        <v>20</v>
      </c>
      <c r="FF4" s="6" t="n">
        <v>13349.4</v>
      </c>
      <c r="FG4" s="0"/>
      <c r="FH4" s="5" t="s">
        <f>=SUM(FI2:FI3)/SUM(FH2:FH3)</f>
      </c>
      <c r="FI4" s="0" t="s">
        <v>11</v>
      </c>
      <c r="FJ4" s="11" t="n">
        <v>45341</v>
      </c>
      <c r="FK4" s="6" t="n">
        <v>5</v>
      </c>
      <c r="FL4" s="6" t="n">
        <v>4177.51</v>
      </c>
      <c r="FM4" s="0"/>
      <c r="FN4" s="5" t="s">
        <f>=SUM(FO2:FO3)/SUM(FN2:FN3)</f>
      </c>
      <c r="FO4" s="0" t="s">
        <v>11</v>
      </c>
      <c r="FP4" s="0"/>
      <c r="FQ4" s="5" t="s">
        <f>=SUM(FR2:FR3)/SUM(FQ2:FQ3)</f>
      </c>
      <c r="FR4" s="0" t="s">
        <v>11</v>
      </c>
      <c r="FS4" s="0"/>
      <c r="FT4" s="6" t="n">
        <v>89</v>
      </c>
      <c r="FU4" s="0" t="s">
        <v>703</v>
      </c>
      <c r="FV4" s="0"/>
      <c r="FW4" s="6" t="n">
        <v>88.931</v>
      </c>
      <c r="FX4" s="0" t="s">
        <v>703</v>
      </c>
      <c r="FY4" s="11" t="n">
        <v>45496</v>
      </c>
      <c r="FZ4" s="6" t="n">
        <v>3</v>
      </c>
      <c r="GA4" s="6" t="n">
        <v>2098.08</v>
      </c>
      <c r="GB4" s="0"/>
      <c r="GC4" s="5" t="s">
        <f>=SUM(GD2:GD3)/SUM(GC2:GC3)</f>
      </c>
      <c r="GD4" s="0" t="s">
        <v>11</v>
      </c>
      <c r="GE4" s="11" t="n">
        <v>45327</v>
      </c>
      <c r="GF4" s="6" t="n">
        <v>3</v>
      </c>
      <c r="GG4" s="6" t="n">
        <v>2752.28</v>
      </c>
      <c r="GH4" s="0"/>
      <c r="GI4" s="5" t="s">
        <f>=SUM(GJ2:GJ3)/SUM(GI2:GI3)</f>
      </c>
      <c r="GJ4" s="0" t="s">
        <v>11</v>
      </c>
      <c r="GK4" s="0"/>
      <c r="GL4" s="6" t="n">
        <v>92.592</v>
      </c>
      <c r="GM4" s="0" t="s">
        <v>703</v>
      </c>
      <c r="GN4" s="0"/>
      <c r="GO4" s="6" t="n">
        <v>85.621</v>
      </c>
      <c r="GP4" s="0" t="s">
        <v>703</v>
      </c>
      <c r="GQ4" s="0"/>
      <c r="GR4" s="6" t="n">
        <v>104.65</v>
      </c>
      <c r="GS4" s="0" t="s">
        <v>703</v>
      </c>
      <c r="GT4" s="11" t="n">
        <v>45343</v>
      </c>
      <c r="GU4" s="6" t="n">
        <v>1</v>
      </c>
      <c r="GV4" s="6" t="n">
        <v>933.87</v>
      </c>
      <c r="GW4" s="0"/>
      <c r="GX4" s="6" t="n">
        <v>101.32</v>
      </c>
      <c r="GY4" s="0" t="s">
        <v>703</v>
      </c>
      <c r="GZ4" s="0"/>
      <c r="HA4" s="6" t="n">
        <v>101.44</v>
      </c>
      <c r="HB4" s="0" t="s">
        <v>703</v>
      </c>
      <c r="HC4" s="0"/>
      <c r="HD4" s="6" t="n">
        <v>99.37</v>
      </c>
      <c r="HE4" s="0" t="s">
        <v>703</v>
      </c>
      <c r="HF4" s="0"/>
      <c r="HG4" s="6" t="n">
        <v>93.75</v>
      </c>
      <c r="HH4" s="0" t="s">
        <v>703</v>
      </c>
      <c r="HI4" s="0"/>
      <c r="HJ4" s="5" t="s">
        <f>=SUM(HK2:HK3)/SUM(HJ2:HJ3)</f>
      </c>
      <c r="HK4" s="0" t="s">
        <v>11</v>
      </c>
      <c r="HL4" s="0"/>
      <c r="HM4" s="5" t="s">
        <f>=SUM(HN2:HN3)/SUM(HM2:HM3)</f>
      </c>
      <c r="HN4" s="0" t="s">
        <v>11</v>
      </c>
      <c r="HO4" s="0"/>
      <c r="HP4" s="5" t="s">
        <f>=SUM(HQ2:HQ3)/SUM(HP2:HP3)</f>
      </c>
      <c r="HQ4" s="0" t="s">
        <v>11</v>
      </c>
      <c r="HR4" s="0"/>
      <c r="HS4" s="6" t="n">
        <v>99.61</v>
      </c>
      <c r="HT4" s="0" t="s">
        <v>703</v>
      </c>
      <c r="HU4" s="0"/>
      <c r="HV4" s="6" t="n">
        <v>87.52</v>
      </c>
      <c r="HW4" s="0" t="s">
        <v>703</v>
      </c>
      <c r="HX4" s="0"/>
      <c r="HY4" s="6" t="n">
        <v>99.04</v>
      </c>
      <c r="HZ4" s="0" t="s">
        <v>703</v>
      </c>
      <c r="IA4" s="0"/>
      <c r="IB4" s="6" t="n">
        <v>85.5</v>
      </c>
      <c r="IC4" s="0" t="s">
        <v>703</v>
      </c>
      <c r="ID4" s="0"/>
      <c r="IE4" s="6" t="n">
        <v>96.89</v>
      </c>
      <c r="IF4" s="0" t="s">
        <v>703</v>
      </c>
      <c r="IG4" s="0"/>
      <c r="IH4" s="6" t="n">
        <v>101.42</v>
      </c>
      <c r="II4" s="0" t="s">
        <v>703</v>
      </c>
      <c r="IJ4" s="0"/>
      <c r="IK4" s="6" t="n">
        <v>96.92</v>
      </c>
      <c r="IL4" s="0" t="s">
        <v>703</v>
      </c>
      <c r="IM4" s="0"/>
      <c r="IN4" s="6" t="n">
        <v>99.77</v>
      </c>
      <c r="IO4" s="0" t="s">
        <v>703</v>
      </c>
      <c r="IP4" s="0"/>
      <c r="IQ4" s="6" t="n">
        <v>-2</v>
      </c>
      <c r="IR4" s="0" t="s">
        <v>704</v>
      </c>
    </row>
    <row collapsed="false" customFormat="false" customHeight="false" hidden="false" ht="12.1" outlineLevel="0" r="5">
      <c r="A5" s="11" t="n">
        <v>45503</v>
      </c>
      <c r="B5" s="6" t="n">
        <v>10</v>
      </c>
      <c r="C5" s="6" t="n">
        <v>5068.55</v>
      </c>
      <c r="D5" s="0"/>
      <c r="E5" s="6" t="n">
        <v>0.5697</v>
      </c>
      <c r="F5" s="0" t="s">
        <v>703</v>
      </c>
      <c r="G5" s="0"/>
      <c r="H5" s="6" t="n">
        <v>42.04</v>
      </c>
      <c r="I5" s="0" t="s">
        <v>703</v>
      </c>
      <c r="J5" s="0"/>
      <c r="K5" s="6" t="n">
        <v>316.3</v>
      </c>
      <c r="L5" s="0" t="s">
        <v>703</v>
      </c>
      <c r="M5" s="0"/>
      <c r="N5" s="6" t="n">
        <v>100</v>
      </c>
      <c r="O5" s="0" t="s">
        <v>704</v>
      </c>
      <c r="P5" s="0"/>
      <c r="Q5" s="6" t="n">
        <v>8.845</v>
      </c>
      <c r="R5" s="0" t="s">
        <v>703</v>
      </c>
      <c r="S5" s="0"/>
      <c r="T5" s="6" t="n">
        <v>50</v>
      </c>
      <c r="U5" s="0" t="s">
        <v>704</v>
      </c>
      <c r="V5" s="0"/>
      <c r="W5" s="6" t="n">
        <v>13.94</v>
      </c>
      <c r="X5" s="0" t="s">
        <v>703</v>
      </c>
      <c r="Y5" s="0"/>
      <c r="Z5" s="6" t="n">
        <v>3345</v>
      </c>
      <c r="AA5" s="0" t="s">
        <v>703</v>
      </c>
      <c r="AB5" s="0"/>
      <c r="AC5" s="6" t="n">
        <v>867</v>
      </c>
      <c r="AD5" s="0" t="s">
        <v>703</v>
      </c>
      <c r="AE5" s="0"/>
      <c r="AF5" s="5" t="s">
        <f>=SUM(AG2:AG4)/SUM(AF2:AF4)</f>
      </c>
      <c r="AG5" s="0" t="s">
        <v>11</v>
      </c>
      <c r="AH5" s="0"/>
      <c r="AI5" s="6" t="n">
        <v>5</v>
      </c>
      <c r="AJ5" s="0" t="s">
        <v>704</v>
      </c>
      <c r="AK5" s="0"/>
      <c r="AL5" s="6" t="n">
        <v>1</v>
      </c>
      <c r="AM5" s="0" t="s">
        <v>704</v>
      </c>
      <c r="AN5" s="0"/>
      <c r="AO5" s="6" t="n">
        <v>0.7972</v>
      </c>
      <c r="AP5" s="0" t="s">
        <v>703</v>
      </c>
      <c r="AQ5" s="0"/>
      <c r="AR5" s="6" t="n">
        <v>21.65</v>
      </c>
      <c r="AS5" s="0" t="s">
        <v>703</v>
      </c>
      <c r="AT5" s="0"/>
      <c r="AU5" s="6" t="n">
        <v>2</v>
      </c>
      <c r="AV5" s="0" t="s">
        <v>704</v>
      </c>
      <c r="AW5" s="0"/>
      <c r="AX5" s="6" t="n">
        <v>2</v>
      </c>
      <c r="AY5" s="0" t="s">
        <v>704</v>
      </c>
      <c r="AZ5" s="0"/>
      <c r="BA5" s="6" t="n">
        <v>13.944</v>
      </c>
      <c r="BB5" s="0" t="s">
        <v>703</v>
      </c>
      <c r="BC5" s="0"/>
      <c r="BD5" s="6" t="n">
        <v>50</v>
      </c>
      <c r="BE5" s="0" t="s">
        <v>704</v>
      </c>
      <c r="BF5" s="0"/>
      <c r="BG5" s="6" t="n">
        <v>106.42</v>
      </c>
      <c r="BH5" s="0" t="s">
        <v>703</v>
      </c>
      <c r="BI5" s="0"/>
      <c r="BJ5" s="6" t="n">
        <v>109.96</v>
      </c>
      <c r="BK5" s="0" t="s">
        <v>703</v>
      </c>
      <c r="BL5" s="0"/>
      <c r="BM5" s="6" t="n">
        <v>10</v>
      </c>
      <c r="BN5" s="0" t="s">
        <v>704</v>
      </c>
      <c r="BO5" s="0"/>
      <c r="BP5" s="5" t="s">
        <f>=SUM(BQ2:BQ4)/SUM(BP2:BP4)</f>
      </c>
      <c r="BQ5" s="0" t="s">
        <v>11</v>
      </c>
      <c r="BR5" s="11" t="n">
        <v>44763</v>
      </c>
      <c r="BS5" s="6" t="n">
        <v>10</v>
      </c>
      <c r="BT5" s="6" t="n">
        <v>599.16</v>
      </c>
      <c r="BU5" s="0"/>
      <c r="BV5" s="6" t="n">
        <v>1000</v>
      </c>
      <c r="BW5" s="0" t="s">
        <v>704</v>
      </c>
      <c r="BX5" s="0"/>
      <c r="BY5" s="6" t="n">
        <v>159.65</v>
      </c>
      <c r="BZ5" s="0" t="s">
        <v>703</v>
      </c>
      <c r="CA5" s="0"/>
      <c r="CB5" s="6" t="n">
        <v>2</v>
      </c>
      <c r="CC5" s="0" t="s">
        <v>704</v>
      </c>
      <c r="CD5" s="0"/>
      <c r="CE5" s="6" t="n">
        <v>20</v>
      </c>
      <c r="CF5" s="0" t="s">
        <v>704</v>
      </c>
      <c r="CG5" s="11" t="n">
        <v>45537</v>
      </c>
      <c r="CH5" s="6" t="n">
        <v>100</v>
      </c>
      <c r="CI5" s="6" t="n">
        <v>362.69</v>
      </c>
      <c r="CJ5" s="0"/>
      <c r="CK5" s="6" t="n">
        <v>1</v>
      </c>
      <c r="CL5" s="0" t="s">
        <v>704</v>
      </c>
      <c r="CM5" s="0"/>
      <c r="CN5" s="6" t="n">
        <v>10</v>
      </c>
      <c r="CO5" s="0" t="s">
        <v>704</v>
      </c>
      <c r="CP5" s="0"/>
      <c r="CQ5" s="6" t="n">
        <v>57.17</v>
      </c>
      <c r="CR5" s="0" t="s">
        <v>703</v>
      </c>
      <c r="CS5" s="0"/>
      <c r="CT5" s="6" t="n">
        <v>1</v>
      </c>
      <c r="CU5" s="0" t="s">
        <v>704</v>
      </c>
      <c r="CV5" s="0"/>
      <c r="CW5" s="6" t="n">
        <v>1</v>
      </c>
      <c r="CX5" s="0" t="s">
        <v>704</v>
      </c>
      <c r="CY5" s="0"/>
      <c r="CZ5" s="6" t="n">
        <v>13402</v>
      </c>
      <c r="DA5" s="0" t="s">
        <v>704</v>
      </c>
      <c r="DB5" s="0"/>
      <c r="DC5" s="6" t="n">
        <v>37.965</v>
      </c>
      <c r="DD5" s="0" t="s">
        <v>703</v>
      </c>
      <c r="DE5" s="0"/>
      <c r="DF5" s="6" t="n">
        <v>3</v>
      </c>
      <c r="DG5" s="0" t="s">
        <v>704</v>
      </c>
      <c r="DH5" s="0"/>
      <c r="DI5" s="6" t="n">
        <v>1</v>
      </c>
      <c r="DJ5" s="0" t="s">
        <v>704</v>
      </c>
      <c r="DK5" s="0"/>
      <c r="DL5" s="6" t="n">
        <v>10</v>
      </c>
      <c r="DM5" s="0" t="s">
        <v>704</v>
      </c>
      <c r="DN5" s="0"/>
      <c r="DO5" s="6" t="n">
        <v>74.14</v>
      </c>
      <c r="DP5" s="0" t="s">
        <v>703</v>
      </c>
      <c r="DQ5" s="0"/>
      <c r="DR5" s="6" t="n">
        <v>3</v>
      </c>
      <c r="DS5" s="0" t="s">
        <v>704</v>
      </c>
      <c r="DT5" s="0"/>
      <c r="DU5" s="6" t="n">
        <v>10</v>
      </c>
      <c r="DV5" s="0" t="s">
        <v>704</v>
      </c>
      <c r="DW5" s="0"/>
      <c r="DX5" s="6" t="n">
        <v>100</v>
      </c>
      <c r="DY5" s="0" t="s">
        <v>704</v>
      </c>
      <c r="DZ5" s="11" t="n">
        <v>45505</v>
      </c>
      <c r="EA5" s="6" t="n">
        <v>3</v>
      </c>
      <c r="EB5" s="6" t="n">
        <v>429.67</v>
      </c>
      <c r="EC5" s="11" t="n">
        <v>45594</v>
      </c>
      <c r="ED5" s="6" t="n">
        <v>6</v>
      </c>
      <c r="EE5" s="6" t="n">
        <v>733.42</v>
      </c>
      <c r="EF5" s="11" t="n">
        <v>45695</v>
      </c>
      <c r="EG5" s="6" t="n">
        <v>42</v>
      </c>
      <c r="EH5" s="6" t="n">
        <v>6225</v>
      </c>
      <c r="EI5" s="11" t="n">
        <v>45966</v>
      </c>
      <c r="EJ5" s="6" t="n">
        <v>370</v>
      </c>
      <c r="EK5" s="6" t="n">
        <v>680.65</v>
      </c>
      <c r="EL5" s="11" t="n">
        <v>45327</v>
      </c>
      <c r="EM5" s="6" t="n">
        <v>600</v>
      </c>
      <c r="EN5" s="6" t="n">
        <v>905.98</v>
      </c>
      <c r="EO5" s="11" t="n">
        <v>45448</v>
      </c>
      <c r="EP5" s="6" t="n">
        <v>20</v>
      </c>
      <c r="EQ5" s="6" t="n">
        <v>10749.86</v>
      </c>
      <c r="ER5" s="11" t="n">
        <v>45488</v>
      </c>
      <c r="ES5" s="6" t="n">
        <v>30</v>
      </c>
      <c r="ET5" s="6" t="n">
        <v>17315.67</v>
      </c>
      <c r="EU5" s="0"/>
      <c r="EV5" s="5" t="s">
        <f>=SUM(EW2:EW4)/SUM(EV2:EV4)</f>
      </c>
      <c r="EW5" s="0" t="s">
        <v>11</v>
      </c>
      <c r="EX5" s="0"/>
      <c r="EY5" s="5" t="s">
        <f>=SUM(EZ2:EZ4)/SUM(EY2:EY4)</f>
      </c>
      <c r="EZ5" s="0" t="s">
        <v>11</v>
      </c>
      <c r="FA5" s="11" t="n">
        <v>45350</v>
      </c>
      <c r="FB5" s="6" t="n">
        <v>10</v>
      </c>
      <c r="FC5" s="6" t="n">
        <v>9503.65</v>
      </c>
      <c r="FD5" s="0"/>
      <c r="FE5" s="5" t="s">
        <f>=SUM(FF2:FF4)/SUM(FE2:FE4)</f>
      </c>
      <c r="FF5" s="0" t="s">
        <v>11</v>
      </c>
      <c r="FG5" s="0"/>
      <c r="FH5" s="6" t="n">
        <v>88.45</v>
      </c>
      <c r="FI5" s="0" t="s">
        <v>703</v>
      </c>
      <c r="FJ5" s="11" t="n">
        <v>45371</v>
      </c>
      <c r="FK5" s="6" t="n">
        <v>16</v>
      </c>
      <c r="FL5" s="6" t="n">
        <v>12321.51</v>
      </c>
      <c r="FM5" s="0"/>
      <c r="FN5" s="6" t="n">
        <v>80.277</v>
      </c>
      <c r="FO5" s="0" t="s">
        <v>703</v>
      </c>
      <c r="FP5" s="0"/>
      <c r="FQ5" s="6" t="n">
        <v>98.26</v>
      </c>
      <c r="FR5" s="0" t="s">
        <v>703</v>
      </c>
      <c r="FS5" s="0"/>
      <c r="FT5" s="6" t="n">
        <v>20</v>
      </c>
      <c r="FU5" s="0" t="s">
        <v>704</v>
      </c>
      <c r="FV5" s="0"/>
      <c r="FW5" s="6" t="n">
        <v>20</v>
      </c>
      <c r="FX5" s="0" t="s">
        <v>704</v>
      </c>
      <c r="FY5" s="0"/>
      <c r="FZ5" s="5" t="s">
        <f>=SUM(GA2:GA4)/SUM(FZ2:FZ4)</f>
      </c>
      <c r="GA5" s="0" t="s">
        <v>11</v>
      </c>
      <c r="GB5" s="0"/>
      <c r="GC5" s="6" t="n">
        <v>96.947</v>
      </c>
      <c r="GD5" s="0" t="s">
        <v>703</v>
      </c>
      <c r="GE5" s="11" t="n">
        <v>45357</v>
      </c>
      <c r="GF5" s="6" t="n">
        <v>10</v>
      </c>
      <c r="GG5" s="6" t="n">
        <v>8961.64</v>
      </c>
      <c r="GH5" s="0"/>
      <c r="GI5" s="6" t="n">
        <v>77.2</v>
      </c>
      <c r="GJ5" s="0" t="s">
        <v>703</v>
      </c>
      <c r="GK5" s="0"/>
      <c r="GL5" s="6" t="n">
        <v>9</v>
      </c>
      <c r="GM5" s="0" t="s">
        <v>704</v>
      </c>
      <c r="GN5" s="0"/>
      <c r="GO5" s="6" t="n">
        <v>10</v>
      </c>
      <c r="GP5" s="0" t="s">
        <v>704</v>
      </c>
      <c r="GQ5" s="0"/>
      <c r="GR5" s="6" t="n">
        <v>5</v>
      </c>
      <c r="GS5" s="0" t="s">
        <v>704</v>
      </c>
      <c r="GT5" s="0"/>
      <c r="GU5" s="5" t="s">
        <f>=SUM(GV2:GV4)/SUM(GU2:GU4)</f>
      </c>
      <c r="GV5" s="0" t="s">
        <v>11</v>
      </c>
      <c r="GW5" s="0"/>
      <c r="GX5" s="6" t="n">
        <v>5</v>
      </c>
      <c r="GY5" s="0" t="s">
        <v>704</v>
      </c>
      <c r="GZ5" s="0"/>
      <c r="HA5" s="6" t="n">
        <v>5</v>
      </c>
      <c r="HB5" s="0" t="s">
        <v>704</v>
      </c>
      <c r="HC5" s="0"/>
      <c r="HD5" s="6" t="n">
        <v>5</v>
      </c>
      <c r="HE5" s="0" t="s">
        <v>704</v>
      </c>
      <c r="HF5" s="0"/>
      <c r="HG5" s="6" t="n">
        <v>5</v>
      </c>
      <c r="HH5" s="0" t="s">
        <v>704</v>
      </c>
      <c r="HI5" s="0"/>
      <c r="HJ5" s="6" t="n">
        <v>89.66</v>
      </c>
      <c r="HK5" s="0" t="s">
        <v>703</v>
      </c>
      <c r="HL5" s="0"/>
      <c r="HM5" s="6" t="n">
        <v>96</v>
      </c>
      <c r="HN5" s="0" t="s">
        <v>703</v>
      </c>
      <c r="HO5" s="0"/>
      <c r="HP5" s="6" t="n">
        <v>98.83</v>
      </c>
      <c r="HQ5" s="0" t="s">
        <v>703</v>
      </c>
      <c r="HR5" s="0"/>
      <c r="HS5" s="6" t="n">
        <v>3</v>
      </c>
      <c r="HT5" s="0" t="s">
        <v>704</v>
      </c>
      <c r="HU5" s="0"/>
      <c r="HV5" s="6" t="n">
        <v>5</v>
      </c>
      <c r="HW5" s="0" t="s">
        <v>704</v>
      </c>
      <c r="HX5" s="0"/>
      <c r="HY5" s="6" t="n">
        <v>2</v>
      </c>
      <c r="HZ5" s="0" t="s">
        <v>704</v>
      </c>
      <c r="IA5" s="0"/>
      <c r="IB5" s="6" t="n">
        <v>2</v>
      </c>
      <c r="IC5" s="0" t="s">
        <v>704</v>
      </c>
      <c r="ID5" s="0"/>
      <c r="IE5" s="6" t="n">
        <v>7</v>
      </c>
      <c r="IF5" s="0" t="s">
        <v>704</v>
      </c>
      <c r="IG5" s="0"/>
      <c r="IH5" s="6" t="n">
        <v>1</v>
      </c>
      <c r="II5" s="0" t="s">
        <v>704</v>
      </c>
      <c r="IJ5" s="0"/>
      <c r="IK5" s="6" t="n">
        <v>1</v>
      </c>
      <c r="IL5" s="0" t="s">
        <v>704</v>
      </c>
      <c r="IM5" s="0"/>
      <c r="IN5" s="6" t="n">
        <v>10</v>
      </c>
      <c r="IO5" s="0" t="s">
        <v>704</v>
      </c>
      <c r="IP5" s="0"/>
      <c r="IQ5" s="6" t="s">
        <f>=Портфель!G87*Портфель!$Q$13</f>
      </c>
      <c r="IR5" s="0" t="s">
        <v>6</v>
      </c>
    </row>
    <row collapsed="false" customFormat="false" customHeight="false" hidden="false" ht="12.1" outlineLevel="0" r="6">
      <c r="A6" s="11" t="n">
        <v>45594</v>
      </c>
      <c r="B6" s="6" t="n">
        <v>100</v>
      </c>
      <c r="C6" s="6" t="n">
        <v>44345.45</v>
      </c>
      <c r="D6" s="0"/>
      <c r="E6" s="6" t="n">
        <v>35000</v>
      </c>
      <c r="F6" s="0" t="s">
        <v>704</v>
      </c>
      <c r="G6" s="0"/>
      <c r="H6" s="6" t="n">
        <v>400</v>
      </c>
      <c r="I6" s="0" t="s">
        <v>704</v>
      </c>
      <c r="J6" s="0"/>
      <c r="K6" s="6" t="n">
        <v>50</v>
      </c>
      <c r="L6" s="0" t="s">
        <v>704</v>
      </c>
      <c r="M6" s="0"/>
      <c r="N6" s="5" t="s">
        <f>=N5*(ABS(N4)-ABS(N3))</f>
      </c>
      <c r="O6" s="0" t="s">
        <v>705</v>
      </c>
      <c r="P6" s="0"/>
      <c r="Q6" s="6" t="n">
        <v>900</v>
      </c>
      <c r="R6" s="0" t="s">
        <v>704</v>
      </c>
      <c r="S6" s="0"/>
      <c r="T6" s="5" t="s">
        <f>=T5*(ABS(T4)-ABS(T3))</f>
      </c>
      <c r="U6" s="0" t="s">
        <v>705</v>
      </c>
      <c r="V6" s="0"/>
      <c r="W6" s="6" t="n">
        <v>500</v>
      </c>
      <c r="X6" s="0" t="s">
        <v>704</v>
      </c>
      <c r="Y6" s="0"/>
      <c r="Z6" s="6" t="n">
        <v>2</v>
      </c>
      <c r="AA6" s="0" t="s">
        <v>704</v>
      </c>
      <c r="AB6" s="0"/>
      <c r="AC6" s="6" t="n">
        <v>7</v>
      </c>
      <c r="AD6" s="0" t="s">
        <v>704</v>
      </c>
      <c r="AE6" s="0"/>
      <c r="AF6" s="6" t="n">
        <v>502.25</v>
      </c>
      <c r="AG6" s="0" t="s">
        <v>703</v>
      </c>
      <c r="AH6" s="0"/>
      <c r="AI6" s="5" t="s">
        <f>=AI5*(ABS(AI4)-ABS(AI3))</f>
      </c>
      <c r="AJ6" s="0" t="s">
        <v>705</v>
      </c>
      <c r="AK6" s="0"/>
      <c r="AL6" s="5" t="s">
        <f>=AL5*(ABS(AL4)-ABS(AL3))</f>
      </c>
      <c r="AM6" s="0" t="s">
        <v>705</v>
      </c>
      <c r="AN6" s="0"/>
      <c r="AO6" s="6" t="n">
        <v>6000</v>
      </c>
      <c r="AP6" s="0" t="s">
        <v>704</v>
      </c>
      <c r="AQ6" s="0"/>
      <c r="AR6" s="6" t="n">
        <v>200</v>
      </c>
      <c r="AS6" s="0" t="s">
        <v>704</v>
      </c>
      <c r="AT6" s="0"/>
      <c r="AU6" s="5" t="s">
        <f>=AU5*(ABS(AU4)-ABS(AU3))</f>
      </c>
      <c r="AV6" s="0" t="s">
        <v>705</v>
      </c>
      <c r="AW6" s="0"/>
      <c r="AX6" s="5" t="s">
        <f>=AX5*(ABS(AX4)-ABS(AX3))</f>
      </c>
      <c r="AY6" s="0" t="s">
        <v>705</v>
      </c>
      <c r="AZ6" s="0"/>
      <c r="BA6" s="6" t="n">
        <v>200</v>
      </c>
      <c r="BB6" s="0" t="s">
        <v>704</v>
      </c>
      <c r="BC6" s="0"/>
      <c r="BD6" s="5" t="s">
        <f>=BD5*(ABS(BD4)-ABS(BD3))</f>
      </c>
      <c r="BE6" s="0" t="s">
        <v>705</v>
      </c>
      <c r="BF6" s="0"/>
      <c r="BG6" s="6" t="n">
        <v>20</v>
      </c>
      <c r="BH6" s="0" t="s">
        <v>704</v>
      </c>
      <c r="BI6" s="0"/>
      <c r="BJ6" s="6" t="n">
        <v>20</v>
      </c>
      <c r="BK6" s="0" t="s">
        <v>704</v>
      </c>
      <c r="BL6" s="0"/>
      <c r="BM6" s="5" t="s">
        <f>=BM5*(ABS(BM4)-ABS(BM3))</f>
      </c>
      <c r="BN6" s="0" t="s">
        <v>705</v>
      </c>
      <c r="BO6" s="0"/>
      <c r="BP6" s="6" t="n">
        <v>487.1</v>
      </c>
      <c r="BQ6" s="0" t="s">
        <v>703</v>
      </c>
      <c r="BR6" s="0"/>
      <c r="BS6" s="5" t="s">
        <f>=SUM(BT2:BT5)/SUM(BS2:BS5)</f>
      </c>
      <c r="BT6" s="0" t="s">
        <v>11</v>
      </c>
      <c r="BU6" s="0"/>
      <c r="BV6" s="5" t="s">
        <f>=BV5*(ABS(BV4)-ABS(BV3))</f>
      </c>
      <c r="BW6" s="0" t="s">
        <v>705</v>
      </c>
      <c r="BX6" s="0"/>
      <c r="BY6" s="6" t="n">
        <v>10</v>
      </c>
      <c r="BZ6" s="0" t="s">
        <v>704</v>
      </c>
      <c r="CA6" s="0"/>
      <c r="CB6" s="5" t="s">
        <f>=CB5*(ABS(CB4)-ABS(CB3))</f>
      </c>
      <c r="CC6" s="0" t="s">
        <v>705</v>
      </c>
      <c r="CD6" s="0"/>
      <c r="CE6" s="5" t="s">
        <f>=CE5*(ABS(CE4)-ABS(CE3))</f>
      </c>
      <c r="CF6" s="0" t="s">
        <v>705</v>
      </c>
      <c r="CG6" s="0"/>
      <c r="CH6" s="5" t="s">
        <f>=SUM(CI2:CI5)/SUM(CH2:CH5)</f>
      </c>
      <c r="CI6" s="0" t="s">
        <v>11</v>
      </c>
      <c r="CJ6" s="0"/>
      <c r="CK6" s="5" t="s">
        <f>=CK5*(ABS(CK4)-ABS(CK3))</f>
      </c>
      <c r="CL6" s="0" t="s">
        <v>705</v>
      </c>
      <c r="CM6" s="0"/>
      <c r="CN6" s="5" t="s">
        <f>=CN5*(ABS(CN4)-ABS(CN3))</f>
      </c>
      <c r="CO6" s="0" t="s">
        <v>705</v>
      </c>
      <c r="CP6" s="0"/>
      <c r="CQ6" s="6" t="n">
        <v>20</v>
      </c>
      <c r="CR6" s="0" t="s">
        <v>704</v>
      </c>
      <c r="CS6" s="0"/>
      <c r="CT6" s="5" t="s">
        <f>=CT5*(ABS(CT4)-ABS(CT3))</f>
      </c>
      <c r="CU6" s="0" t="s">
        <v>705</v>
      </c>
      <c r="CV6" s="0"/>
      <c r="CW6" s="5" t="s">
        <f>=CW5*(ABS(CW4)-ABS(CW3))</f>
      </c>
      <c r="CX6" s="0" t="s">
        <v>705</v>
      </c>
      <c r="CY6" s="0"/>
      <c r="CZ6" s="5" t="s">
        <f>=CZ5*(ABS(CZ4)-ABS(CZ3))</f>
      </c>
      <c r="DA6" s="0" t="s">
        <v>705</v>
      </c>
      <c r="DB6" s="0"/>
      <c r="DC6" s="6" t="n">
        <v>20</v>
      </c>
      <c r="DD6" s="0" t="s">
        <v>704</v>
      </c>
      <c r="DE6" s="0"/>
      <c r="DF6" s="5" t="s">
        <f>=DF5*(ABS(DF4)-ABS(DF3))</f>
      </c>
      <c r="DG6" s="0" t="s">
        <v>705</v>
      </c>
      <c r="DH6" s="0"/>
      <c r="DI6" s="5" t="s">
        <f>=DI5*(ABS(DI4)-ABS(DI3))</f>
      </c>
      <c r="DJ6" s="0" t="s">
        <v>705</v>
      </c>
      <c r="DK6" s="0"/>
      <c r="DL6" s="5" t="s">
        <f>=DL5*(ABS(DL4)-ABS(DL3))</f>
      </c>
      <c r="DM6" s="0" t="s">
        <v>705</v>
      </c>
      <c r="DN6" s="0"/>
      <c r="DO6" s="6" t="n">
        <v>3</v>
      </c>
      <c r="DP6" s="0" t="s">
        <v>704</v>
      </c>
      <c r="DQ6" s="0"/>
      <c r="DR6" s="5" t="s">
        <f>=DR5*(ABS(DR4)-ABS(DR3))</f>
      </c>
      <c r="DS6" s="0" t="s">
        <v>705</v>
      </c>
      <c r="DT6" s="0"/>
      <c r="DU6" s="5" t="s">
        <f>=DU5*(ABS(DU4)-ABS(DU3))</f>
      </c>
      <c r="DV6" s="0" t="s">
        <v>705</v>
      </c>
      <c r="DW6" s="0"/>
      <c r="DX6" s="5" t="s">
        <f>=DX5*(ABS(DX4)-ABS(DX3))</f>
      </c>
      <c r="DY6" s="0" t="s">
        <v>705</v>
      </c>
      <c r="DZ6" s="11" t="n">
        <v>45506</v>
      </c>
      <c r="EA6" s="6" t="n">
        <v>3</v>
      </c>
      <c r="EB6" s="6" t="n">
        <v>429.01</v>
      </c>
      <c r="EC6" s="11" t="n">
        <v>45622</v>
      </c>
      <c r="ED6" s="6" t="n">
        <v>60</v>
      </c>
      <c r="EE6" s="6" t="n">
        <v>7073.12</v>
      </c>
      <c r="EF6" s="11" t="n">
        <v>45698</v>
      </c>
      <c r="EG6" s="6" t="n">
        <v>2</v>
      </c>
      <c r="EH6" s="6" t="n">
        <v>297.44</v>
      </c>
      <c r="EI6" s="11" t="n">
        <v>45980</v>
      </c>
      <c r="EJ6" s="6" t="n">
        <v>60</v>
      </c>
      <c r="EK6" s="6" t="n">
        <v>111.05</v>
      </c>
      <c r="EL6" s="11" t="n">
        <v>45454</v>
      </c>
      <c r="EM6" s="6" t="n">
        <v>6000</v>
      </c>
      <c r="EN6" s="6" t="n">
        <v>10069.82</v>
      </c>
      <c r="EO6" s="11" t="n">
        <v>45461</v>
      </c>
      <c r="EP6" s="6" t="n">
        <v>1</v>
      </c>
      <c r="EQ6" s="6" t="n">
        <v>533.02</v>
      </c>
      <c r="ER6" s="0"/>
      <c r="ES6" s="5" t="s">
        <f>=SUM(ET2:ET5)/SUM(ES2:ES5)</f>
      </c>
      <c r="ET6" s="0" t="s">
        <v>11</v>
      </c>
      <c r="EU6" s="0"/>
      <c r="EV6" s="6" t="n">
        <v>75.295</v>
      </c>
      <c r="EW6" s="0" t="s">
        <v>703</v>
      </c>
      <c r="EX6" s="0"/>
      <c r="EY6" s="6" t="n">
        <v>86.655</v>
      </c>
      <c r="EZ6" s="0" t="s">
        <v>703</v>
      </c>
      <c r="FA6" s="0"/>
      <c r="FB6" s="5" t="s">
        <f>=SUM(FC2:FC5)/SUM(FB2:FB5)</f>
      </c>
      <c r="FC6" s="0" t="s">
        <v>11</v>
      </c>
      <c r="FD6" s="0"/>
      <c r="FE6" s="6" t="n">
        <v>71.859</v>
      </c>
      <c r="FF6" s="0" t="s">
        <v>703</v>
      </c>
      <c r="FG6" s="0"/>
      <c r="FH6" s="6" t="n">
        <v>34</v>
      </c>
      <c r="FI6" s="0" t="s">
        <v>704</v>
      </c>
      <c r="FJ6" s="11" t="n">
        <v>45429</v>
      </c>
      <c r="FK6" s="6" t="n">
        <v>3</v>
      </c>
      <c r="FL6" s="6" t="n">
        <v>2200.64</v>
      </c>
      <c r="FM6" s="0"/>
      <c r="FN6" s="6" t="n">
        <v>34</v>
      </c>
      <c r="FO6" s="0" t="s">
        <v>704</v>
      </c>
      <c r="FP6" s="0"/>
      <c r="FQ6" s="6" t="n">
        <v>19</v>
      </c>
      <c r="FR6" s="0" t="s">
        <v>704</v>
      </c>
      <c r="FS6" s="0"/>
      <c r="FT6" s="6" t="s">
        <f>=Портфель!G62*Портфель!$Q$13</f>
      </c>
      <c r="FU6" s="0" t="s">
        <v>6</v>
      </c>
      <c r="FV6" s="0"/>
      <c r="FW6" s="6" t="s">
        <f>=Портфель!G63*Портфель!$Q$13</f>
      </c>
      <c r="FX6" s="0" t="s">
        <v>6</v>
      </c>
      <c r="FY6" s="0"/>
      <c r="FZ6" s="6" t="n">
        <v>80.59</v>
      </c>
      <c r="GA6" s="0" t="s">
        <v>703</v>
      </c>
      <c r="GB6" s="0"/>
      <c r="GC6" s="6" t="n">
        <v>15</v>
      </c>
      <c r="GD6" s="0" t="s">
        <v>704</v>
      </c>
      <c r="GE6" s="0"/>
      <c r="GF6" s="5" t="s">
        <f>=SUM(GG2:GG5)/SUM(GF2:GF5)</f>
      </c>
      <c r="GG6" s="0" t="s">
        <v>11</v>
      </c>
      <c r="GH6" s="0"/>
      <c r="GI6" s="6" t="n">
        <v>12</v>
      </c>
      <c r="GJ6" s="0" t="s">
        <v>704</v>
      </c>
      <c r="GK6" s="0"/>
      <c r="GL6" s="6" t="s">
        <f>=Портфель!G68*Портфель!$Q$13</f>
      </c>
      <c r="GM6" s="0" t="s">
        <v>6</v>
      </c>
      <c r="GN6" s="0"/>
      <c r="GO6" s="6" t="s">
        <f>=Портфель!G69*Портфель!$Q$13</f>
      </c>
      <c r="GP6" s="0" t="s">
        <v>6</v>
      </c>
      <c r="GQ6" s="0"/>
      <c r="GR6" s="6" t="s">
        <f>=Портфель!G70*Портфель!$Q$13</f>
      </c>
      <c r="GS6" s="0" t="s">
        <v>6</v>
      </c>
      <c r="GT6" s="0"/>
      <c r="GU6" s="6" t="n">
        <v>100.85</v>
      </c>
      <c r="GV6" s="0" t="s">
        <v>703</v>
      </c>
      <c r="GW6" s="0"/>
      <c r="GX6" s="6" t="s">
        <f>=Портфель!G72*Портфель!$Q$13</f>
      </c>
      <c r="GY6" s="0" t="s">
        <v>6</v>
      </c>
      <c r="GZ6" s="0"/>
      <c r="HA6" s="6" t="s">
        <f>=Портфель!G73*Портфель!$Q$13</f>
      </c>
      <c r="HB6" s="0" t="s">
        <v>6</v>
      </c>
      <c r="HC6" s="0"/>
      <c r="HD6" s="6" t="s">
        <f>=Портфель!G74*Портфель!$Q$13</f>
      </c>
      <c r="HE6" s="0" t="s">
        <v>6</v>
      </c>
      <c r="HF6" s="0"/>
      <c r="HG6" s="6" t="s">
        <f>=Портфель!G75*Портфель!$Q$13</f>
      </c>
      <c r="HH6" s="0" t="s">
        <v>6</v>
      </c>
      <c r="HI6" s="0"/>
      <c r="HJ6" s="6" t="n">
        <v>5</v>
      </c>
      <c r="HK6" s="0" t="s">
        <v>704</v>
      </c>
      <c r="HL6" s="0"/>
      <c r="HM6" s="6" t="n">
        <v>4</v>
      </c>
      <c r="HN6" s="0" t="s">
        <v>704</v>
      </c>
      <c r="HO6" s="0"/>
      <c r="HP6" s="6" t="n">
        <v>10</v>
      </c>
      <c r="HQ6" s="0" t="s">
        <v>704</v>
      </c>
      <c r="HR6" s="0"/>
      <c r="HS6" s="6" t="s">
        <f>=Портфель!G79*Портфель!$Q$13</f>
      </c>
      <c r="HT6" s="0" t="s">
        <v>6</v>
      </c>
      <c r="HU6" s="0"/>
      <c r="HV6" s="6" t="s">
        <f>=Портфель!G80*Портфель!$Q$13</f>
      </c>
      <c r="HW6" s="0" t="s">
        <v>6</v>
      </c>
      <c r="HX6" s="0"/>
      <c r="HY6" s="6" t="s">
        <f>=Портфель!G81*Портфель!$Q$13</f>
      </c>
      <c r="HZ6" s="0" t="s">
        <v>6</v>
      </c>
      <c r="IA6" s="0"/>
      <c r="IB6" s="6" t="s">
        <f>=Портфель!G82*Портфель!$Q$13</f>
      </c>
      <c r="IC6" s="0" t="s">
        <v>6</v>
      </c>
      <c r="ID6" s="0"/>
      <c r="IE6" s="6" t="s">
        <f>=Портфель!G83*Портфель!$Q$13</f>
      </c>
      <c r="IF6" s="0" t="s">
        <v>6</v>
      </c>
      <c r="IG6" s="0"/>
      <c r="IH6" s="6" t="s">
        <f>=Портфель!G84*Портфель!$Q$13</f>
      </c>
      <c r="II6" s="0" t="s">
        <v>6</v>
      </c>
      <c r="IJ6" s="0"/>
      <c r="IK6" s="6" t="s">
        <f>=Портфель!G85*Портфель!$Q$13</f>
      </c>
      <c r="IL6" s="0" t="s">
        <v>6</v>
      </c>
      <c r="IM6" s="0"/>
      <c r="IN6" s="6" t="s">
        <f>=Портфель!G86*Портфель!$Q$13</f>
      </c>
      <c r="IO6" s="0" t="s">
        <v>6</v>
      </c>
      <c r="IP6" s="0"/>
      <c r="IQ6" s="6" t="s">
        <f>=Портфель!H87*Портфель!$Q$13</f>
      </c>
      <c r="IR6" s="0" t="s">
        <v>7</v>
      </c>
    </row>
    <row collapsed="false" customFormat="false" customHeight="false" hidden="false" ht="12.1" outlineLevel="0" r="7">
      <c r="A7" s="11" t="n">
        <v>45623</v>
      </c>
      <c r="B7" s="6" t="n">
        <v>4</v>
      </c>
      <c r="C7" s="6" t="n">
        <v>1873.1</v>
      </c>
      <c r="D7" s="0"/>
      <c r="E7" s="5" t="s">
        <f>=E6*(ABS(E5)-ABS(E4))</f>
      </c>
      <c r="F7" s="0" t="s">
        <v>705</v>
      </c>
      <c r="G7" s="0"/>
      <c r="H7" s="5" t="s">
        <f>=H6*(ABS(H5)-ABS(H4))</f>
      </c>
      <c r="I7" s="0" t="s">
        <v>705</v>
      </c>
      <c r="J7" s="0"/>
      <c r="K7" s="5" t="s">
        <f>=K6*(ABS(K5)-ABS(K4))</f>
      </c>
      <c r="L7" s="0" t="s">
        <v>705</v>
      </c>
      <c r="M7" s="0"/>
      <c r="N7" s="0"/>
      <c r="O7" s="0"/>
      <c r="P7" s="0"/>
      <c r="Q7" s="5" t="s">
        <f>=Q6*(ABS(Q5)-ABS(Q4))</f>
      </c>
      <c r="R7" s="0" t="s">
        <v>705</v>
      </c>
      <c r="S7" s="0"/>
      <c r="T7" s="0"/>
      <c r="U7" s="0"/>
      <c r="V7" s="0"/>
      <c r="W7" s="5" t="s">
        <f>=W6*(ABS(W5)-ABS(W4))</f>
      </c>
      <c r="X7" s="0" t="s">
        <v>705</v>
      </c>
      <c r="Y7" s="0"/>
      <c r="Z7" s="5" t="s">
        <f>=Z6*(ABS(Z5)-ABS(Z4))</f>
      </c>
      <c r="AA7" s="0" t="s">
        <v>705</v>
      </c>
      <c r="AB7" s="0"/>
      <c r="AC7" s="5" t="s">
        <f>=AC6*(ABS(AC5)-ABS(AC4))</f>
      </c>
      <c r="AD7" s="0" t="s">
        <v>705</v>
      </c>
      <c r="AE7" s="0"/>
      <c r="AF7" s="6" t="n">
        <v>12</v>
      </c>
      <c r="AG7" s="0" t="s">
        <v>704</v>
      </c>
      <c r="AH7" s="0"/>
      <c r="AI7" s="0"/>
      <c r="AJ7" s="0"/>
      <c r="AK7" s="0"/>
      <c r="AL7" s="0"/>
      <c r="AM7" s="0"/>
      <c r="AN7" s="0"/>
      <c r="AO7" s="5" t="s">
        <f>=AO6*(ABS(AO5)-ABS(AO4))</f>
      </c>
      <c r="AP7" s="0" t="s">
        <v>705</v>
      </c>
      <c r="AQ7" s="0"/>
      <c r="AR7" s="5" t="s">
        <f>=AR6*(ABS(AR5)-ABS(AR4))</f>
      </c>
      <c r="AS7" s="0" t="s">
        <v>705</v>
      </c>
      <c r="AT7" s="0"/>
      <c r="AU7" s="0"/>
      <c r="AV7" s="0"/>
      <c r="AW7" s="0"/>
      <c r="AX7" s="0"/>
      <c r="AY7" s="0"/>
      <c r="AZ7" s="0"/>
      <c r="BA7" s="5" t="s">
        <f>=BA6*(ABS(BA5)-ABS(BA4))</f>
      </c>
      <c r="BB7" s="0" t="s">
        <v>705</v>
      </c>
      <c r="BC7" s="0"/>
      <c r="BD7" s="0"/>
      <c r="BE7" s="0"/>
      <c r="BF7" s="0"/>
      <c r="BG7" s="5" t="s">
        <f>=BG6*(ABS(BG5)-ABS(BG4))</f>
      </c>
      <c r="BH7" s="0" t="s">
        <v>705</v>
      </c>
      <c r="BI7" s="0"/>
      <c r="BJ7" s="5" t="s">
        <f>=BJ6*(ABS(BJ5)-ABS(BJ4))</f>
      </c>
      <c r="BK7" s="0" t="s">
        <v>705</v>
      </c>
      <c r="BL7" s="0"/>
      <c r="BM7" s="0"/>
      <c r="BN7" s="0"/>
      <c r="BO7" s="0"/>
      <c r="BP7" s="6" t="n">
        <v>4</v>
      </c>
      <c r="BQ7" s="0" t="s">
        <v>704</v>
      </c>
      <c r="BR7" s="0"/>
      <c r="BS7" s="6" t="n">
        <v>39.6</v>
      </c>
      <c r="BT7" s="0" t="s">
        <v>703</v>
      </c>
      <c r="BU7" s="0"/>
      <c r="BV7" s="0"/>
      <c r="BW7" s="0"/>
      <c r="BX7" s="0"/>
      <c r="BY7" s="5" t="s">
        <f>=BY6*(ABS(BY5)-ABS(BY4))</f>
      </c>
      <c r="BZ7" s="0" t="s">
        <v>705</v>
      </c>
      <c r="CA7" s="0"/>
      <c r="CB7" s="0"/>
      <c r="CC7" s="0"/>
      <c r="CD7" s="0"/>
      <c r="CE7" s="0"/>
      <c r="CF7" s="0"/>
      <c r="CG7" s="0"/>
      <c r="CH7" s="6" t="n">
        <v>3.322</v>
      </c>
      <c r="CI7" s="0" t="s">
        <v>703</v>
      </c>
      <c r="CJ7" s="0"/>
      <c r="CK7" s="0"/>
      <c r="CL7" s="0"/>
      <c r="CM7" s="0"/>
      <c r="CN7" s="0"/>
      <c r="CO7" s="0"/>
      <c r="CP7" s="0"/>
      <c r="CQ7" s="5" t="s">
        <f>=CQ6*(ABS(CQ5)-ABS(CQ4))</f>
      </c>
      <c r="CR7" s="0" t="s">
        <v>705</v>
      </c>
      <c r="CS7" s="0"/>
      <c r="CT7" s="0"/>
      <c r="CU7" s="0"/>
      <c r="CV7" s="0"/>
      <c r="CW7" s="0"/>
      <c r="CX7" s="0"/>
      <c r="CY7" s="0"/>
      <c r="CZ7" s="0"/>
      <c r="DA7" s="0"/>
      <c r="DB7" s="0"/>
      <c r="DC7" s="5" t="s">
        <f>=DC6*(ABS(DC5)-ABS(DC4))</f>
      </c>
      <c r="DD7" s="0" t="s">
        <v>705</v>
      </c>
      <c r="DE7" s="0"/>
      <c r="DF7" s="0"/>
      <c r="DG7" s="0"/>
      <c r="DH7" s="0"/>
      <c r="DI7" s="0"/>
      <c r="DJ7" s="0"/>
      <c r="DK7" s="0"/>
      <c r="DL7" s="0"/>
      <c r="DM7" s="0"/>
      <c r="DN7" s="0"/>
      <c r="DO7" s="5" t="s">
        <f>=DO6*(ABS(DO5)-ABS(DO4))</f>
      </c>
      <c r="DP7" s="0" t="s">
        <v>705</v>
      </c>
      <c r="DQ7" s="0"/>
      <c r="DR7" s="0"/>
      <c r="DS7" s="0"/>
      <c r="DT7" s="0"/>
      <c r="DU7" s="0"/>
      <c r="DV7" s="0"/>
      <c r="DW7" s="0"/>
      <c r="DX7" s="0"/>
      <c r="DY7" s="0"/>
      <c r="DZ7" s="11" t="n">
        <v>45509</v>
      </c>
      <c r="EA7" s="6" t="n">
        <v>1</v>
      </c>
      <c r="EB7" s="6" t="n">
        <v>143.52</v>
      </c>
      <c r="EC7" s="11" t="n">
        <v>45636</v>
      </c>
      <c r="ED7" s="6" t="n">
        <v>4</v>
      </c>
      <c r="EE7" s="6" t="n">
        <v>479.54</v>
      </c>
      <c r="EF7" s="11" t="n">
        <v>45783</v>
      </c>
      <c r="EG7" s="6" t="n">
        <v>2</v>
      </c>
      <c r="EH7" s="6" t="n">
        <v>252.08</v>
      </c>
      <c r="EI7" s="11" t="n">
        <v>45992</v>
      </c>
      <c r="EJ7" s="6" t="n">
        <v>110</v>
      </c>
      <c r="EK7" s="6" t="n">
        <v>204.71</v>
      </c>
      <c r="EL7" s="11" t="n">
        <v>45742</v>
      </c>
      <c r="EM7" s="6" t="n">
        <v>320</v>
      </c>
      <c r="EN7" s="6" t="n">
        <v>668.05</v>
      </c>
      <c r="EO7" s="11" t="n">
        <v>45462</v>
      </c>
      <c r="EP7" s="6" t="n">
        <v>30</v>
      </c>
      <c r="EQ7" s="6" t="n">
        <v>15854.46</v>
      </c>
      <c r="ER7" s="0"/>
      <c r="ES7" s="6" t="n">
        <v>62.958</v>
      </c>
      <c r="ET7" s="0" t="s">
        <v>703</v>
      </c>
      <c r="EU7" s="0"/>
      <c r="EV7" s="6" t="n">
        <v>53</v>
      </c>
      <c r="EW7" s="0" t="s">
        <v>704</v>
      </c>
      <c r="EX7" s="0"/>
      <c r="EY7" s="6" t="n">
        <v>40</v>
      </c>
      <c r="EZ7" s="0" t="s">
        <v>704</v>
      </c>
      <c r="FA7" s="0"/>
      <c r="FB7" s="6" t="n">
        <v>88.58</v>
      </c>
      <c r="FC7" s="0" t="s">
        <v>703</v>
      </c>
      <c r="FD7" s="0"/>
      <c r="FE7" s="6" t="n">
        <v>45</v>
      </c>
      <c r="FF7" s="0" t="s">
        <v>704</v>
      </c>
      <c r="FG7" s="0"/>
      <c r="FH7" s="6" t="s">
        <f>=Портфель!G58*Портфель!$Q$13</f>
      </c>
      <c r="FI7" s="0" t="s">
        <v>6</v>
      </c>
      <c r="FJ7" s="0"/>
      <c r="FK7" s="5" t="s">
        <f>=SUM(FL2:FL6)/SUM(FK2:FK6)</f>
      </c>
      <c r="FL7" s="0" t="s">
        <v>11</v>
      </c>
      <c r="FM7" s="0"/>
      <c r="FN7" s="6" t="s">
        <f>=Портфель!G60*Портфель!$Q$13</f>
      </c>
      <c r="FO7" s="0" t="s">
        <v>6</v>
      </c>
      <c r="FP7" s="0"/>
      <c r="FQ7" s="6" t="s">
        <f>=Портфель!G61*Портфель!$Q$13</f>
      </c>
      <c r="FR7" s="0" t="s">
        <v>6</v>
      </c>
      <c r="FS7" s="0"/>
      <c r="FT7" s="6" t="s">
        <f>=Портфель!H62*Портфель!$Q$13</f>
      </c>
      <c r="FU7" s="0" t="s">
        <v>7</v>
      </c>
      <c r="FV7" s="0"/>
      <c r="FW7" s="6" t="s">
        <f>=Портфель!H63*Портфель!$Q$13</f>
      </c>
      <c r="FX7" s="0" t="s">
        <v>7</v>
      </c>
      <c r="FY7" s="0"/>
      <c r="FZ7" s="6" t="n">
        <v>20</v>
      </c>
      <c r="GA7" s="0" t="s">
        <v>704</v>
      </c>
      <c r="GB7" s="0"/>
      <c r="GC7" s="6" t="s">
        <f>=Портфель!G65*Портфель!$Q$13</f>
      </c>
      <c r="GD7" s="0" t="s">
        <v>6</v>
      </c>
      <c r="GE7" s="0"/>
      <c r="GF7" s="6" t="n">
        <v>78.2</v>
      </c>
      <c r="GG7" s="0" t="s">
        <v>703</v>
      </c>
      <c r="GH7" s="0"/>
      <c r="GI7" s="6" t="s">
        <f>=Портфель!G67*Портфель!$Q$13</f>
      </c>
      <c r="GJ7" s="0" t="s">
        <v>6</v>
      </c>
      <c r="GK7" s="0"/>
      <c r="GL7" s="6" t="s">
        <f>=Портфель!H68*Портфель!$Q$13</f>
      </c>
      <c r="GM7" s="0" t="s">
        <v>7</v>
      </c>
      <c r="GN7" s="0"/>
      <c r="GO7" s="6" t="s">
        <f>=Портфель!H69*Портфель!$Q$13</f>
      </c>
      <c r="GP7" s="0" t="s">
        <v>7</v>
      </c>
      <c r="GQ7" s="0"/>
      <c r="GR7" s="6" t="s">
        <f>=Портфель!H70*Портфель!$Q$13</f>
      </c>
      <c r="GS7" s="0" t="s">
        <v>7</v>
      </c>
      <c r="GT7" s="0"/>
      <c r="GU7" s="6" t="n">
        <v>5</v>
      </c>
      <c r="GV7" s="0" t="s">
        <v>704</v>
      </c>
      <c r="GW7" s="0"/>
      <c r="GX7" s="6" t="s">
        <f>=Портфель!H72*Портфель!$Q$13</f>
      </c>
      <c r="GY7" s="0" t="s">
        <v>7</v>
      </c>
      <c r="GZ7" s="0"/>
      <c r="HA7" s="6" t="s">
        <f>=Портфель!H73*Портфель!$Q$13</f>
      </c>
      <c r="HB7" s="0" t="s">
        <v>7</v>
      </c>
      <c r="HC7" s="0"/>
      <c r="HD7" s="6" t="s">
        <f>=Портфель!H74*Портфель!$Q$13</f>
      </c>
      <c r="HE7" s="0" t="s">
        <v>7</v>
      </c>
      <c r="HF7" s="0"/>
      <c r="HG7" s="6" t="s">
        <f>=Портфель!H75*Портфель!$Q$13</f>
      </c>
      <c r="HH7" s="0" t="s">
        <v>7</v>
      </c>
      <c r="HI7" s="0"/>
      <c r="HJ7" s="6" t="s">
        <f>=Портфель!G76*Портфель!$Q$13</f>
      </c>
      <c r="HK7" s="0" t="s">
        <v>6</v>
      </c>
      <c r="HL7" s="0"/>
      <c r="HM7" s="6" t="s">
        <f>=Портфель!G77*Портфель!$Q$13</f>
      </c>
      <c r="HN7" s="0" t="s">
        <v>6</v>
      </c>
      <c r="HO7" s="0"/>
      <c r="HP7" s="6" t="s">
        <f>=Портфель!G78*Портфель!$Q$13</f>
      </c>
      <c r="HQ7" s="0" t="s">
        <v>6</v>
      </c>
      <c r="HR7" s="0"/>
      <c r="HS7" s="6" t="s">
        <f>=Портфель!H79*Портфель!$Q$13</f>
      </c>
      <c r="HT7" s="0" t="s">
        <v>7</v>
      </c>
      <c r="HU7" s="0"/>
      <c r="HV7" s="6" t="s">
        <f>=Портфель!H80*Портфель!$Q$13</f>
      </c>
      <c r="HW7" s="0" t="s">
        <v>7</v>
      </c>
      <c r="HX7" s="0"/>
      <c r="HY7" s="6" t="s">
        <f>=Портфель!H81*Портфель!$Q$13</f>
      </c>
      <c r="HZ7" s="0" t="s">
        <v>7</v>
      </c>
      <c r="IA7" s="0"/>
      <c r="IB7" s="6" t="s">
        <f>=Портфель!H82*Портфель!$Q$13</f>
      </c>
      <c r="IC7" s="0" t="s">
        <v>7</v>
      </c>
      <c r="ID7" s="0"/>
      <c r="IE7" s="6" t="s">
        <f>=Портфель!H83*Портфель!$Q$13</f>
      </c>
      <c r="IF7" s="0" t="s">
        <v>7</v>
      </c>
      <c r="IG7" s="0"/>
      <c r="IH7" s="6" t="s">
        <f>=Портфель!H84*Портфель!$Q$13</f>
      </c>
      <c r="II7" s="0" t="s">
        <v>7</v>
      </c>
      <c r="IJ7" s="0"/>
      <c r="IK7" s="6" t="s">
        <f>=Портфель!H85*Портфель!$Q$13</f>
      </c>
      <c r="IL7" s="0" t="s">
        <v>7</v>
      </c>
      <c r="IM7" s="0"/>
      <c r="IN7" s="6" t="s">
        <f>=Портфель!H86*Портфель!$Q$13</f>
      </c>
      <c r="IO7" s="0" t="s">
        <v>7</v>
      </c>
      <c r="IP7" s="0"/>
      <c r="IQ7" s="5" t="s">
        <f>=IQ4*(IQ5*IQ3/100-IQ2+IQ6)</f>
      </c>
      <c r="IR7" s="0" t="s">
        <v>705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5" t="s">
        <f>=AF7*(ABS(AF6)-ABS(AF5))</f>
      </c>
      <c r="AG8" s="0" t="s">
        <v>705</v>
      </c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5" t="s">
        <f>=BP7*(ABS(BP6)-ABS(BP5))</f>
      </c>
      <c r="BQ8" s="0" t="s">
        <v>705</v>
      </c>
      <c r="BR8" s="0"/>
      <c r="BS8" s="6" t="n">
        <v>40</v>
      </c>
      <c r="BT8" s="0" t="s">
        <v>704</v>
      </c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6" t="n">
        <v>400</v>
      </c>
      <c r="CI8" s="0" t="s">
        <v>704</v>
      </c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11" t="n">
        <v>45526</v>
      </c>
      <c r="EA8" s="6" t="n">
        <v>4</v>
      </c>
      <c r="EB8" s="6" t="n">
        <v>575.61</v>
      </c>
      <c r="EC8" s="11" t="n">
        <v>45971</v>
      </c>
      <c r="ED8" s="6" t="n">
        <v>800</v>
      </c>
      <c r="EE8" s="6" t="n">
        <v>105941.18</v>
      </c>
      <c r="EF8" s="11" t="n">
        <v>45789</v>
      </c>
      <c r="EG8" s="6" t="n">
        <v>2</v>
      </c>
      <c r="EH8" s="6" t="n">
        <v>252.3</v>
      </c>
      <c r="EI8" s="11" t="n">
        <v>45994</v>
      </c>
      <c r="EJ8" s="6" t="n">
        <v>150</v>
      </c>
      <c r="EK8" s="6" t="n">
        <v>279.39</v>
      </c>
      <c r="EL8" s="11" t="n">
        <v>45757</v>
      </c>
      <c r="EM8" s="6" t="n">
        <v>1100</v>
      </c>
      <c r="EN8" s="6" t="n">
        <v>2398.17</v>
      </c>
      <c r="EO8" s="0"/>
      <c r="EP8" s="5" t="s">
        <f>=SUM(EQ2:EQ7)/SUM(EP2:EP7)</f>
      </c>
      <c r="EQ8" s="0" t="s">
        <v>11</v>
      </c>
      <c r="ER8" s="0"/>
      <c r="ES8" s="6" t="n">
        <v>80</v>
      </c>
      <c r="ET8" s="0" t="s">
        <v>704</v>
      </c>
      <c r="EU8" s="0"/>
      <c r="EV8" s="6" t="s">
        <f>=Портфель!G54*Портфель!$Q$13</f>
      </c>
      <c r="EW8" s="0" t="s">
        <v>6</v>
      </c>
      <c r="EX8" s="0"/>
      <c r="EY8" s="6" t="s">
        <f>=Портфель!G55*Портфель!$Q$13</f>
      </c>
      <c r="EZ8" s="0" t="s">
        <v>6</v>
      </c>
      <c r="FA8" s="0"/>
      <c r="FB8" s="6" t="n">
        <v>41</v>
      </c>
      <c r="FC8" s="0" t="s">
        <v>704</v>
      </c>
      <c r="FD8" s="0"/>
      <c r="FE8" s="6" t="s">
        <f>=Портфель!G57*Портфель!$Q$13</f>
      </c>
      <c r="FF8" s="0" t="s">
        <v>6</v>
      </c>
      <c r="FG8" s="0"/>
      <c r="FH8" s="6" t="s">
        <f>=Портфель!H58*Портфель!$Q$13</f>
      </c>
      <c r="FI8" s="0" t="s">
        <v>7</v>
      </c>
      <c r="FJ8" s="0"/>
      <c r="FK8" s="6" t="n">
        <v>83.389</v>
      </c>
      <c r="FL8" s="0" t="s">
        <v>703</v>
      </c>
      <c r="FM8" s="0"/>
      <c r="FN8" s="6" t="s">
        <f>=Портфель!H60*Портфель!$Q$13</f>
      </c>
      <c r="FO8" s="0" t="s">
        <v>7</v>
      </c>
      <c r="FP8" s="0"/>
      <c r="FQ8" s="6" t="s">
        <f>=Портфель!H61*Портфель!$Q$13</f>
      </c>
      <c r="FR8" s="0" t="s">
        <v>7</v>
      </c>
      <c r="FS8" s="0"/>
      <c r="FT8" s="5" t="s">
        <f>=FT5*(FT6*FT4/100-FT3+FT7)</f>
      </c>
      <c r="FU8" s="0" t="s">
        <v>705</v>
      </c>
      <c r="FV8" s="0"/>
      <c r="FW8" s="5" t="s">
        <f>=FW5*(FW6*FW4/100-FW3+FW7)</f>
      </c>
      <c r="FX8" s="0" t="s">
        <v>705</v>
      </c>
      <c r="FY8" s="0"/>
      <c r="FZ8" s="6" t="s">
        <f>=Портфель!G64*Портфель!$Q$13</f>
      </c>
      <c r="GA8" s="0" t="s">
        <v>6</v>
      </c>
      <c r="GB8" s="0"/>
      <c r="GC8" s="6" t="s">
        <f>=Портфель!H65*Портфель!$Q$13</f>
      </c>
      <c r="GD8" s="0" t="s">
        <v>7</v>
      </c>
      <c r="GE8" s="0"/>
      <c r="GF8" s="6" t="n">
        <v>17</v>
      </c>
      <c r="GG8" s="0" t="s">
        <v>704</v>
      </c>
      <c r="GH8" s="0"/>
      <c r="GI8" s="6" t="s">
        <f>=Портфель!H67*Портфель!$Q$13</f>
      </c>
      <c r="GJ8" s="0" t="s">
        <v>7</v>
      </c>
      <c r="GK8" s="0"/>
      <c r="GL8" s="5" t="s">
        <f>=GL5*(GL6*GL4/100-GL3+GL7)</f>
      </c>
      <c r="GM8" s="0" t="s">
        <v>705</v>
      </c>
      <c r="GN8" s="0"/>
      <c r="GO8" s="5" t="s">
        <f>=GO5*(GO6*GO4/100-GO3+GO7)</f>
      </c>
      <c r="GP8" s="0" t="s">
        <v>705</v>
      </c>
      <c r="GQ8" s="0"/>
      <c r="GR8" s="5" t="s">
        <f>=GR5*(GR6*GR4/100-GR3+GR7)</f>
      </c>
      <c r="GS8" s="0" t="s">
        <v>705</v>
      </c>
      <c r="GT8" s="0"/>
      <c r="GU8" s="6" t="s">
        <f>=Портфель!G71*Портфель!$Q$13</f>
      </c>
      <c r="GV8" s="0" t="s">
        <v>6</v>
      </c>
      <c r="GW8" s="0"/>
      <c r="GX8" s="5" t="s">
        <f>=GX5*(GX6*GX4/100-GX3+GX7)</f>
      </c>
      <c r="GY8" s="0" t="s">
        <v>705</v>
      </c>
      <c r="GZ8" s="0"/>
      <c r="HA8" s="5" t="s">
        <f>=HA5*(HA6*HA4/100-HA3+HA7)</f>
      </c>
      <c r="HB8" s="0" t="s">
        <v>705</v>
      </c>
      <c r="HC8" s="0"/>
      <c r="HD8" s="5" t="s">
        <f>=HD5*(HD6*HD4/100-HD3+HD7)</f>
      </c>
      <c r="HE8" s="0" t="s">
        <v>705</v>
      </c>
      <c r="HF8" s="0"/>
      <c r="HG8" s="5" t="s">
        <f>=HG5*(HG6*HG4/100-HG3+HG7)</f>
      </c>
      <c r="HH8" s="0" t="s">
        <v>705</v>
      </c>
      <c r="HI8" s="0"/>
      <c r="HJ8" s="6" t="s">
        <f>=Портфель!H76*Портфель!$Q$13</f>
      </c>
      <c r="HK8" s="0" t="s">
        <v>7</v>
      </c>
      <c r="HL8" s="0"/>
      <c r="HM8" s="6" t="s">
        <f>=Портфель!H77*Портфель!$Q$13</f>
      </c>
      <c r="HN8" s="0" t="s">
        <v>7</v>
      </c>
      <c r="HO8" s="0"/>
      <c r="HP8" s="6" t="s">
        <f>=Портфель!H78*Портфель!$Q$13</f>
      </c>
      <c r="HQ8" s="0" t="s">
        <v>7</v>
      </c>
      <c r="HR8" s="0"/>
      <c r="HS8" s="5" t="s">
        <f>=HS5*(HS6*HS4/100-HS3+HS7)</f>
      </c>
      <c r="HT8" s="0" t="s">
        <v>705</v>
      </c>
      <c r="HU8" s="0"/>
      <c r="HV8" s="5" t="s">
        <f>=HV5*(HV6*HV4/100-HV3+HV7)</f>
      </c>
      <c r="HW8" s="0" t="s">
        <v>705</v>
      </c>
      <c r="HX8" s="0"/>
      <c r="HY8" s="5" t="s">
        <f>=HY5*(HY6*HY4/100-HY3+HY7)</f>
      </c>
      <c r="HZ8" s="0" t="s">
        <v>705</v>
      </c>
      <c r="IA8" s="0"/>
      <c r="IB8" s="5" t="s">
        <f>=IB5*(IB6*IB4/100-IB3+IB7)</f>
      </c>
      <c r="IC8" s="0" t="s">
        <v>705</v>
      </c>
      <c r="ID8" s="0"/>
      <c r="IE8" s="5" t="s">
        <f>=IE5*(IE6*IE4/100-IE3+IE7)</f>
      </c>
      <c r="IF8" s="0" t="s">
        <v>705</v>
      </c>
      <c r="IG8" s="0"/>
      <c r="IH8" s="5" t="s">
        <f>=IH5*(IH6*IH4/100-IH3+IH7)</f>
      </c>
      <c r="II8" s="0" t="s">
        <v>705</v>
      </c>
      <c r="IJ8" s="0"/>
      <c r="IK8" s="5" t="s">
        <f>=IK5*(IK6*IK4/100-IK3+IK7)</f>
      </c>
      <c r="IL8" s="0" t="s">
        <v>705</v>
      </c>
      <c r="IM8" s="0"/>
      <c r="IN8" s="5" t="s">
        <f>=IN5*(IN6*IN4/100-IN3+IN7)</f>
      </c>
      <c r="IO8" s="0" t="s">
        <v>705</v>
      </c>
    </row>
    <row collapsed="false" customFormat="false" customHeight="false" hidden="false" ht="12.1" outlineLevel="0" r="9">
      <c r="A9" s="0"/>
      <c r="B9" s="6" t="n">
        <v>391.25</v>
      </c>
      <c r="C9" s="0" t="s">
        <v>703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5" t="s">
        <f>=BS8*(ABS(BS7)-ABS(BS6))</f>
      </c>
      <c r="BT9" s="0" t="s">
        <v>705</v>
      </c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5" t="s">
        <f>=CH8*(ABS(CH7)-ABS(CH6))</f>
      </c>
      <c r="CI9" s="0" t="s">
        <v>705</v>
      </c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11" t="n">
        <v>45537</v>
      </c>
      <c r="EA9" s="6" t="n">
        <v>1</v>
      </c>
      <c r="EB9" s="6" t="n">
        <v>143.2</v>
      </c>
      <c r="EC9" s="11" t="n">
        <v>45973</v>
      </c>
      <c r="ED9" s="6" t="n">
        <v>78</v>
      </c>
      <c r="EE9" s="6" t="n">
        <v>10118.62</v>
      </c>
      <c r="EF9" s="11" t="n">
        <v>45790</v>
      </c>
      <c r="EG9" s="6" t="n">
        <v>3</v>
      </c>
      <c r="EH9" s="6" t="n">
        <v>374.88</v>
      </c>
      <c r="EI9" s="11" t="n">
        <v>45999</v>
      </c>
      <c r="EJ9" s="6" t="n">
        <v>200</v>
      </c>
      <c r="EK9" s="6" t="n">
        <v>373.3</v>
      </c>
      <c r="EL9" s="11" t="n">
        <v>45789</v>
      </c>
      <c r="EM9" s="6" t="n">
        <v>35</v>
      </c>
      <c r="EN9" s="6" t="n">
        <v>75.01</v>
      </c>
      <c r="EO9" s="0"/>
      <c r="EP9" s="6" t="n">
        <v>60.009</v>
      </c>
      <c r="EQ9" s="0" t="s">
        <v>703</v>
      </c>
      <c r="ER9" s="0"/>
      <c r="ES9" s="6" t="s">
        <f>=Портфель!G53*Портфель!$Q$13</f>
      </c>
      <c r="ET9" s="0" t="s">
        <v>6</v>
      </c>
      <c r="EU9" s="0"/>
      <c r="EV9" s="6" t="s">
        <f>=Портфель!H54*Портфель!$Q$13</f>
      </c>
      <c r="EW9" s="0" t="s">
        <v>7</v>
      </c>
      <c r="EX9" s="0"/>
      <c r="EY9" s="6" t="s">
        <f>=Портфель!H55*Портфель!$Q$13</f>
      </c>
      <c r="EZ9" s="0" t="s">
        <v>7</v>
      </c>
      <c r="FA9" s="0"/>
      <c r="FB9" s="6" t="s">
        <f>=Портфель!G56*Портфель!$Q$13</f>
      </c>
      <c r="FC9" s="0" t="s">
        <v>6</v>
      </c>
      <c r="FD9" s="0"/>
      <c r="FE9" s="6" t="s">
        <f>=Портфель!H57*Портфель!$Q$13</f>
      </c>
      <c r="FF9" s="0" t="s">
        <v>7</v>
      </c>
      <c r="FG9" s="0"/>
      <c r="FH9" s="5" t="s">
        <f>=FH6*(FH7*FH5/100-FH4+FH8)</f>
      </c>
      <c r="FI9" s="0" t="s">
        <v>705</v>
      </c>
      <c r="FJ9" s="0"/>
      <c r="FK9" s="6" t="n">
        <v>34</v>
      </c>
      <c r="FL9" s="0" t="s">
        <v>704</v>
      </c>
      <c r="FM9" s="0"/>
      <c r="FN9" s="5" t="s">
        <f>=FN6*(FN7*FN5/100-FN4+FN8)</f>
      </c>
      <c r="FO9" s="0" t="s">
        <v>705</v>
      </c>
      <c r="FP9" s="0"/>
      <c r="FQ9" s="5" t="s">
        <f>=FQ6*(FQ7*FQ5/100-FQ4+FQ8)</f>
      </c>
      <c r="FR9" s="0" t="s">
        <v>705</v>
      </c>
      <c r="FS9" s="0"/>
      <c r="FT9" s="0"/>
      <c r="FU9" s="0"/>
      <c r="FV9" s="0"/>
      <c r="FW9" s="0"/>
      <c r="FX9" s="0"/>
      <c r="FY9" s="0"/>
      <c r="FZ9" s="6" t="s">
        <f>=Портфель!H64*Портфель!$Q$13</f>
      </c>
      <c r="GA9" s="0" t="s">
        <v>7</v>
      </c>
      <c r="GB9" s="0"/>
      <c r="GC9" s="5" t="s">
        <f>=GC6*(GC7*GC5/100-GC4+GC8)</f>
      </c>
      <c r="GD9" s="0" t="s">
        <v>705</v>
      </c>
      <c r="GE9" s="0"/>
      <c r="GF9" s="6" t="s">
        <f>=Портфель!G66*Портфель!$Q$13</f>
      </c>
      <c r="GG9" s="0" t="s">
        <v>6</v>
      </c>
      <c r="GH9" s="0"/>
      <c r="GI9" s="5" t="s">
        <f>=GI6*(GI7*GI5/100-GI4+GI8)</f>
      </c>
      <c r="GJ9" s="0" t="s">
        <v>705</v>
      </c>
      <c r="GK9" s="0"/>
      <c r="GL9" s="0"/>
      <c r="GM9" s="0"/>
      <c r="GN9" s="0"/>
      <c r="GO9" s="0"/>
      <c r="GP9" s="0"/>
      <c r="GQ9" s="0"/>
      <c r="GR9" s="0"/>
      <c r="GS9" s="0"/>
      <c r="GT9" s="0"/>
      <c r="GU9" s="6" t="s">
        <f>=Портфель!H71*Портфель!$Q$13</f>
      </c>
      <c r="GV9" s="0" t="s">
        <v>7</v>
      </c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5" t="s">
        <f>=HJ6*(HJ7*HJ5/100-HJ4+HJ8)</f>
      </c>
      <c r="HK9" s="0" t="s">
        <v>705</v>
      </c>
      <c r="HL9" s="0"/>
      <c r="HM9" s="5" t="s">
        <f>=HM6*(HM7*HM5/100-HM4+HM8)</f>
      </c>
      <c r="HN9" s="0" t="s">
        <v>705</v>
      </c>
      <c r="HO9" s="0"/>
      <c r="HP9" s="5" t="s">
        <f>=HP6*(HP7*HP5/100-HP4+HP8)</f>
      </c>
      <c r="HQ9" s="0" t="s">
        <v>705</v>
      </c>
    </row>
    <row collapsed="false" customFormat="false" customHeight="false" hidden="false" ht="12.1" outlineLevel="0" r="10">
      <c r="A10" s="0"/>
      <c r="B10" s="6" t="n">
        <v>117</v>
      </c>
      <c r="C10" s="0" t="s">
        <v>704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11" t="n">
        <v>45547</v>
      </c>
      <c r="EA10" s="6" t="n">
        <v>21</v>
      </c>
      <c r="EB10" s="6" t="n">
        <v>3020.71</v>
      </c>
      <c r="EC10" s="11" t="n">
        <v>45974</v>
      </c>
      <c r="ED10" s="6" t="n">
        <v>3</v>
      </c>
      <c r="EE10" s="6" t="n">
        <v>389.18</v>
      </c>
      <c r="EF10" s="0"/>
      <c r="EG10" s="5" t="s">
        <f>=SUM(EH2:EH9)/SUM(EG2:EG9)</f>
      </c>
      <c r="EH10" s="0" t="s">
        <v>11</v>
      </c>
      <c r="EI10" s="11" t="n">
        <v>46001</v>
      </c>
      <c r="EJ10" s="6" t="n">
        <v>90</v>
      </c>
      <c r="EK10" s="6" t="n">
        <v>168.14</v>
      </c>
      <c r="EL10" s="11" t="n">
        <v>45803</v>
      </c>
      <c r="EM10" s="6" t="n">
        <v>19</v>
      </c>
      <c r="EN10" s="6" t="n">
        <v>40.71</v>
      </c>
      <c r="EO10" s="0"/>
      <c r="EP10" s="6" t="n">
        <v>88</v>
      </c>
      <c r="EQ10" s="0" t="s">
        <v>704</v>
      </c>
      <c r="ER10" s="0"/>
      <c r="ES10" s="6" t="s">
        <f>=Портфель!H53*Портфель!$Q$13</f>
      </c>
      <c r="ET10" s="0" t="s">
        <v>7</v>
      </c>
      <c r="EU10" s="0"/>
      <c r="EV10" s="5" t="s">
        <f>=EV7*(EV8*EV6/100-EV5+EV9)</f>
      </c>
      <c r="EW10" s="0" t="s">
        <v>705</v>
      </c>
      <c r="EX10" s="0"/>
      <c r="EY10" s="5" t="s">
        <f>=EY7*(EY8*EY6/100-EY5+EY9)</f>
      </c>
      <c r="EZ10" s="0" t="s">
        <v>705</v>
      </c>
      <c r="FA10" s="0"/>
      <c r="FB10" s="6" t="s">
        <f>=Портфель!H56*Портфель!$Q$13</f>
      </c>
      <c r="FC10" s="0" t="s">
        <v>7</v>
      </c>
      <c r="FD10" s="0"/>
      <c r="FE10" s="5" t="s">
        <f>=FE7*(FE8*FE6/100-FE5+FE9)</f>
      </c>
      <c r="FF10" s="0" t="s">
        <v>705</v>
      </c>
      <c r="FG10" s="0"/>
      <c r="FH10" s="0"/>
      <c r="FI10" s="0"/>
      <c r="FJ10" s="0"/>
      <c r="FK10" s="6" t="s">
        <f>=Портфель!G59*Портфель!$Q$13</f>
      </c>
      <c r="FL10" s="0" t="s">
        <v>6</v>
      </c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5" t="s">
        <f>=FZ7*(FZ8*FZ6/100-FZ5+FZ9)</f>
      </c>
      <c r="GA10" s="0" t="s">
        <v>705</v>
      </c>
      <c r="GB10" s="0"/>
      <c r="GC10" s="0"/>
      <c r="GD10" s="0"/>
      <c r="GE10" s="0"/>
      <c r="GF10" s="6" t="s">
        <f>=Портфель!H66*Портфель!$Q$13</f>
      </c>
      <c r="GG10" s="0" t="s">
        <v>7</v>
      </c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5" t="s">
        <f>=GU7*(GU8*GU6/100-GU5+GU9)</f>
      </c>
      <c r="GV10" s="0" t="s">
        <v>705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705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11" t="n">
        <v>45551</v>
      </c>
      <c r="EA11" s="6" t="n">
        <v>106</v>
      </c>
      <c r="EB11" s="6" t="n">
        <v>15236.17</v>
      </c>
      <c r="EC11" s="0"/>
      <c r="ED11" s="5" t="s">
        <f>=SUM(EE2:EE10)/SUM(ED2:ED10)</f>
      </c>
      <c r="EE11" s="0" t="s">
        <v>11</v>
      </c>
      <c r="EF11" s="0"/>
      <c r="EG11" s="6" t="n">
        <v>11.24</v>
      </c>
      <c r="EH11" s="0" t="s">
        <v>703</v>
      </c>
      <c r="EI11" s="11" t="n">
        <v>46057</v>
      </c>
      <c r="EJ11" s="6" t="n">
        <v>1980</v>
      </c>
      <c r="EK11" s="6" t="n">
        <v>3788.14</v>
      </c>
      <c r="EL11" s="11" t="n">
        <v>45817</v>
      </c>
      <c r="EM11" s="6" t="n">
        <v>200</v>
      </c>
      <c r="EN11" s="6" t="n">
        <v>426.12</v>
      </c>
      <c r="EO11" s="0"/>
      <c r="EP11" s="6" t="s">
        <f>=Портфель!G52*Портфель!$Q$13</f>
      </c>
      <c r="EQ11" s="0" t="s">
        <v>6</v>
      </c>
      <c r="ER11" s="0"/>
      <c r="ES11" s="5" t="s">
        <f>=ES8*(ES9*ES7/100-ES6+ES10)</f>
      </c>
      <c r="ET11" s="0" t="s">
        <v>705</v>
      </c>
      <c r="EU11" s="0"/>
      <c r="EV11" s="0"/>
      <c r="EW11" s="0"/>
      <c r="EX11" s="0"/>
      <c r="EY11" s="0"/>
      <c r="EZ11" s="0"/>
      <c r="FA11" s="0"/>
      <c r="FB11" s="5" t="s">
        <f>=FB8*(FB9*FB7/100-FB6+FB10)</f>
      </c>
      <c r="FC11" s="0" t="s">
        <v>705</v>
      </c>
      <c r="FD11" s="0"/>
      <c r="FE11" s="0"/>
      <c r="FF11" s="0"/>
      <c r="FG11" s="0"/>
      <c r="FH11" s="0"/>
      <c r="FI11" s="0"/>
      <c r="FJ11" s="0"/>
      <c r="FK11" s="6" t="s">
        <f>=Портфель!H59*Портфель!$Q$13</f>
      </c>
      <c r="FL11" s="0" t="s">
        <v>7</v>
      </c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5" t="s">
        <f>=GF8*(GF9*GF7/100-GF6+GF10)</f>
      </c>
      <c r="GG11" s="0" t="s">
        <v>705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11" t="n">
        <v>45553</v>
      </c>
      <c r="EA12" s="6" t="n">
        <v>11</v>
      </c>
      <c r="EB12" s="6" t="n">
        <v>1578.55</v>
      </c>
      <c r="EC12" s="0"/>
      <c r="ED12" s="6" t="n">
        <v>144.3</v>
      </c>
      <c r="EE12" s="0" t="s">
        <v>703</v>
      </c>
      <c r="EF12" s="0"/>
      <c r="EG12" s="6" t="n">
        <v>769</v>
      </c>
      <c r="EH12" s="0" t="s">
        <v>704</v>
      </c>
      <c r="EI12" s="11" t="n">
        <v>46065</v>
      </c>
      <c r="EJ12" s="6" t="n">
        <v>280</v>
      </c>
      <c r="EK12" s="6" t="n">
        <v>537.52</v>
      </c>
      <c r="EL12" s="11" t="n">
        <v>45840</v>
      </c>
      <c r="EM12" s="6" t="n">
        <v>100</v>
      </c>
      <c r="EN12" s="6" t="n">
        <v>210.92</v>
      </c>
      <c r="EO12" s="0"/>
      <c r="EP12" s="6" t="s">
        <f>=Портфель!H52*Портфель!$Q$13</f>
      </c>
      <c r="EQ12" s="0" t="s">
        <v>7</v>
      </c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5" t="s">
        <f>=FK9*(FK10*FK8/100-FK7+FK11)</f>
      </c>
      <c r="FL12" s="0" t="s">
        <v>705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11" t="n">
        <v>45567</v>
      </c>
      <c r="EA13" s="6" t="n">
        <v>2</v>
      </c>
      <c r="EB13" s="6" t="n">
        <v>289.09</v>
      </c>
      <c r="EC13" s="0"/>
      <c r="ED13" s="6" t="n">
        <v>1016</v>
      </c>
      <c r="EE13" s="0" t="s">
        <v>704</v>
      </c>
      <c r="EF13" s="0"/>
      <c r="EG13" s="5" t="s">
        <f>=EG12*(ABS(EG11)-ABS(EG10))</f>
      </c>
      <c r="EH13" s="0" t="s">
        <v>705</v>
      </c>
      <c r="EI13" s="0"/>
      <c r="EJ13" s="5" t="s">
        <f>=SUM(EK2:EK12)/SUM(EJ2:EJ12)</f>
      </c>
      <c r="EK13" s="0" t="s">
        <v>11</v>
      </c>
      <c r="EL13" s="11" t="n">
        <v>45846</v>
      </c>
      <c r="EM13" s="6" t="n">
        <v>350</v>
      </c>
      <c r="EN13" s="6" t="n">
        <v>729.45</v>
      </c>
      <c r="EO13" s="0"/>
      <c r="EP13" s="5" t="s">
        <f>=EP10*(EP11*EP9/100-EP8+EP12)</f>
      </c>
      <c r="EQ13" s="0" t="s">
        <v>705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11" t="n">
        <v>45568</v>
      </c>
      <c r="EA14" s="6" t="n">
        <v>3</v>
      </c>
      <c r="EB14" s="6" t="n">
        <v>433.13</v>
      </c>
      <c r="EC14" s="0"/>
      <c r="ED14" s="5" t="s">
        <f>=ED13*(ABS(ED12)-ABS(ED11))</f>
      </c>
      <c r="EE14" s="0" t="s">
        <v>705</v>
      </c>
      <c r="EF14" s="0"/>
      <c r="EG14" s="0"/>
      <c r="EH14" s="0"/>
      <c r="EI14" s="0"/>
      <c r="EJ14" s="6" t="n">
        <v>1.9299</v>
      </c>
      <c r="EK14" s="0" t="s">
        <v>703</v>
      </c>
      <c r="EL14" s="0"/>
      <c r="EM14" s="5" t="s">
        <f>=SUM(EN2:EN13)/SUM(EM2:EM13)</f>
      </c>
      <c r="EN14" s="0" t="s">
        <v>11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11" t="n">
        <v>45573</v>
      </c>
      <c r="EA15" s="6" t="n">
        <v>1</v>
      </c>
      <c r="EB15" s="6" t="n">
        <v>144.38</v>
      </c>
      <c r="EC15" s="0"/>
      <c r="ED15" s="0"/>
      <c r="EE15" s="0"/>
      <c r="EF15" s="0"/>
      <c r="EG15" s="0"/>
      <c r="EH15" s="0"/>
      <c r="EI15" s="0"/>
      <c r="EJ15" s="6" t="n">
        <v>30898</v>
      </c>
      <c r="EK15" s="0" t="s">
        <v>704</v>
      </c>
      <c r="EL15" s="0"/>
      <c r="EM15" s="6" t="n">
        <v>3.125</v>
      </c>
      <c r="EN15" s="0" t="s">
        <v>703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11" t="n">
        <v>45574</v>
      </c>
      <c r="EA16" s="6" t="n">
        <v>1</v>
      </c>
      <c r="EB16" s="6" t="n">
        <v>144.42</v>
      </c>
      <c r="EC16" s="0"/>
      <c r="ED16" s="0"/>
      <c r="EE16" s="0"/>
      <c r="EF16" s="0"/>
      <c r="EG16" s="0"/>
      <c r="EH16" s="0"/>
      <c r="EI16" s="0"/>
      <c r="EJ16" s="5" t="s">
        <f>=EJ15*(ABS(EJ14)-ABS(EJ13))</f>
      </c>
      <c r="EK16" s="0" t="s">
        <v>705</v>
      </c>
      <c r="EL16" s="0"/>
      <c r="EM16" s="6" t="n">
        <v>15464</v>
      </c>
      <c r="EN16" s="0" t="s">
        <v>704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11" t="n">
        <v>45628</v>
      </c>
      <c r="EA17" s="6" t="n">
        <v>2</v>
      </c>
      <c r="EB17" s="6" t="n">
        <v>283.29</v>
      </c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5" t="s">
        <f>=EM16*(ABS(EM15)-ABS(EM14))</f>
      </c>
      <c r="EN17" s="0" t="s">
        <v>705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11" t="n">
        <v>45701</v>
      </c>
      <c r="EA18" s="6" t="n">
        <v>3</v>
      </c>
      <c r="EB18" s="6" t="n">
        <v>463.28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11" t="n">
        <v>45749</v>
      </c>
      <c r="EA19" s="6" t="n">
        <v>1</v>
      </c>
      <c r="EB19" s="6" t="n">
        <v>159.55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11" t="n">
        <v>46014</v>
      </c>
      <c r="EA20" s="6" t="n">
        <v>10</v>
      </c>
      <c r="EB20" s="6" t="n">
        <v>1887.18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11" t="n">
        <v>46015</v>
      </c>
      <c r="EA21" s="6" t="n">
        <v>514</v>
      </c>
      <c r="EB21" s="6" t="n">
        <v>97011.2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11" t="n">
        <v>46049</v>
      </c>
      <c r="EA22" s="6" t="n">
        <v>4</v>
      </c>
      <c r="EB22" s="6" t="n">
        <v>769.2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11" t="n">
        <v>46069</v>
      </c>
      <c r="EA23" s="6" t="n">
        <v>515</v>
      </c>
      <c r="EB23" s="6" t="n">
        <v>100136.05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5" t="s">
        <f>=SUM(EB2:EB23)/SUM(EA2:EA23)</f>
      </c>
      <c r="EB24" s="0" t="s">
        <v>11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6" t="n">
        <v>195.1</v>
      </c>
      <c r="EB25" s="0" t="s">
        <v>703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6" t="n">
        <v>1357</v>
      </c>
      <c r="EB26" s="0" t="s">
        <v>704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5" t="s">
        <f>=EA26*(ABS(EA25)-ABS(EA24))</f>
      </c>
      <c r="EB27" s="0" t="s">
        <v>705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8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247</v>
      </c>
      <c r="B1" s="18" t="s">
        <v>0</v>
      </c>
      <c r="C1" s="18" t="s">
        <v>2</v>
      </c>
      <c r="D1" s="18" t="s">
        <v>706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707</v>
      </c>
      <c r="L1" s="18" t="s">
        <v>708</v>
      </c>
      <c r="M1" s="18" t="s">
        <v>20</v>
      </c>
      <c r="N1" s="18" t="s">
        <v>33</v>
      </c>
      <c r="O1" s="18" t="s">
        <v>709</v>
      </c>
    </row>
    <row collapsed="false" customFormat="false" customHeight="false" hidden="false" ht="12.1" outlineLevel="0" r="2">
      <c r="A2" s="21" t="n">
        <v>44628</v>
      </c>
      <c r="B2" s="22" t="s">
        <v>710</v>
      </c>
      <c r="C2" s="22" t="s">
        <v>255</v>
      </c>
      <c r="D2" s="22" t="s">
        <v>710</v>
      </c>
      <c r="E2" s="22" t="s">
        <v>710</v>
      </c>
      <c r="F2" s="22" t="s">
        <v>20</v>
      </c>
      <c r="G2" s="23" t="n">
        <v>1</v>
      </c>
      <c r="H2" s="24" t="n">
        <v>2600</v>
      </c>
      <c r="I2" s="24" t="n">
        <v>2600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1" t="n">
        <v>44643</v>
      </c>
      <c r="B3" s="22" t="s">
        <v>710</v>
      </c>
      <c r="C3" s="22" t="s">
        <v>255</v>
      </c>
      <c r="D3" s="22" t="s">
        <v>710</v>
      </c>
      <c r="E3" s="22" t="s">
        <v>710</v>
      </c>
      <c r="F3" s="22" t="s">
        <v>20</v>
      </c>
      <c r="G3" s="23" t="n">
        <v>1</v>
      </c>
      <c r="H3" s="24" t="n">
        <v>200</v>
      </c>
      <c r="I3" s="24" t="n">
        <v>200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4"/>
      <c r="O3" s="22"/>
    </row>
    <row collapsed="false" customFormat="false" customHeight="false" hidden="false" ht="12.1" outlineLevel="0" r="4">
      <c r="A4" s="20" t="n">
        <v>44644.41693287</v>
      </c>
      <c r="B4" s="16" t="s">
        <v>17</v>
      </c>
      <c r="C4" s="16" t="s">
        <v>711</v>
      </c>
      <c r="D4" s="16" t="s">
        <v>587</v>
      </c>
      <c r="E4" s="16" t="s">
        <v>18</v>
      </c>
      <c r="F4" s="16" t="s">
        <v>20</v>
      </c>
      <c r="G4" s="7" t="n">
        <v>1</v>
      </c>
      <c r="H4" s="6" t="n">
        <v>311.55</v>
      </c>
      <c r="I4" s="6" t="n">
        <v>-311.55</v>
      </c>
      <c r="J4" s="6" t="n">
        <v>0</v>
      </c>
      <c r="K4" s="6" t="n">
        <v>-0.19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44644.417314815</v>
      </c>
      <c r="B5" s="16" t="s">
        <v>76</v>
      </c>
      <c r="C5" s="16" t="s">
        <v>712</v>
      </c>
      <c r="D5" s="16" t="s">
        <v>587</v>
      </c>
      <c r="E5" s="16" t="s">
        <v>18</v>
      </c>
      <c r="F5" s="16" t="s">
        <v>20</v>
      </c>
      <c r="G5" s="7" t="n">
        <v>10</v>
      </c>
      <c r="H5" s="6" t="n">
        <v>92.7</v>
      </c>
      <c r="I5" s="6" t="n">
        <v>-927</v>
      </c>
      <c r="J5" s="6" t="n">
        <v>0</v>
      </c>
      <c r="K5" s="6" t="n">
        <v>-0.55</v>
      </c>
      <c r="L5" s="6" t="n">
        <v>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44644.417951389</v>
      </c>
      <c r="B6" s="16" t="s">
        <v>68</v>
      </c>
      <c r="C6" s="16" t="s">
        <v>713</v>
      </c>
      <c r="D6" s="16" t="s">
        <v>587</v>
      </c>
      <c r="E6" s="16" t="s">
        <v>18</v>
      </c>
      <c r="F6" s="16" t="s">
        <v>20</v>
      </c>
      <c r="G6" s="7" t="n">
        <v>100</v>
      </c>
      <c r="H6" s="6" t="n">
        <v>11.507</v>
      </c>
      <c r="I6" s="6" t="n">
        <v>-1150.7</v>
      </c>
      <c r="J6" s="6" t="n">
        <v>0</v>
      </c>
      <c r="K6" s="6" t="n">
        <v>-0.7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1" t="n">
        <v>44645</v>
      </c>
      <c r="B7" s="22" t="s">
        <v>710</v>
      </c>
      <c r="C7" s="22" t="s">
        <v>255</v>
      </c>
      <c r="D7" s="22" t="s">
        <v>710</v>
      </c>
      <c r="E7" s="22" t="s">
        <v>710</v>
      </c>
      <c r="F7" s="22" t="s">
        <v>20</v>
      </c>
      <c r="G7" s="23" t="n">
        <v>1</v>
      </c>
      <c r="H7" s="24" t="n">
        <v>777</v>
      </c>
      <c r="I7" s="24" t="n">
        <v>777</v>
      </c>
      <c r="J7" s="24" t="n">
        <v>0</v>
      </c>
      <c r="K7" s="24" t="n">
        <v>0</v>
      </c>
      <c r="L7" s="24" t="n">
        <v>0</v>
      </c>
      <c r="M7" s="6" t="s">
        <f>=I7+J7+K7+L7</f>
      </c>
      <c r="N7" s="24"/>
      <c r="O7" s="22"/>
    </row>
    <row collapsed="false" customFormat="false" customHeight="false" hidden="false" ht="12.1" outlineLevel="0" r="8">
      <c r="A8" s="20" t="n">
        <v>44645.439409722</v>
      </c>
      <c r="B8" s="16" t="s">
        <v>31</v>
      </c>
      <c r="C8" s="16" t="s">
        <v>714</v>
      </c>
      <c r="D8" s="16" t="s">
        <v>587</v>
      </c>
      <c r="E8" s="16" t="s">
        <v>18</v>
      </c>
      <c r="F8" s="16" t="s">
        <v>20</v>
      </c>
      <c r="G8" s="7" t="n">
        <v>10000</v>
      </c>
      <c r="H8" s="6" t="n">
        <v>0.017975</v>
      </c>
      <c r="I8" s="6" t="n">
        <v>-179.75</v>
      </c>
      <c r="J8" s="6" t="n">
        <v>0</v>
      </c>
      <c r="K8" s="6" t="n">
        <v>-0.11</v>
      </c>
      <c r="L8" s="6" t="n">
        <v>0</v>
      </c>
      <c r="M8" s="6" t="s">
        <f>=I8+J8+K8+L8</f>
      </c>
      <c r="N8" s="6"/>
      <c r="O8" s="16"/>
    </row>
    <row collapsed="false" customFormat="false" customHeight="false" hidden="false" ht="12.1" outlineLevel="0" r="9">
      <c r="A9" s="20" t="n">
        <v>44645.499444444</v>
      </c>
      <c r="B9" s="16" t="s">
        <v>104</v>
      </c>
      <c r="C9" s="16" t="s">
        <v>715</v>
      </c>
      <c r="D9" s="16" t="s">
        <v>587</v>
      </c>
      <c r="E9" s="16" t="s">
        <v>18</v>
      </c>
      <c r="F9" s="16" t="s">
        <v>20</v>
      </c>
      <c r="G9" s="7" t="n">
        <v>10</v>
      </c>
      <c r="H9" s="6" t="n">
        <v>66.675</v>
      </c>
      <c r="I9" s="6" t="n">
        <v>-666.75</v>
      </c>
      <c r="J9" s="6" t="n">
        <v>0</v>
      </c>
      <c r="K9" s="6" t="n">
        <v>-0.4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1" t="n">
        <v>44648</v>
      </c>
      <c r="B10" s="22" t="s">
        <v>710</v>
      </c>
      <c r="C10" s="22" t="s">
        <v>255</v>
      </c>
      <c r="D10" s="22" t="s">
        <v>710</v>
      </c>
      <c r="E10" s="22" t="s">
        <v>710</v>
      </c>
      <c r="F10" s="22" t="s">
        <v>20</v>
      </c>
      <c r="G10" s="23" t="n">
        <v>1</v>
      </c>
      <c r="H10" s="24" t="n">
        <v>400</v>
      </c>
      <c r="I10" s="24" t="n">
        <v>400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4"/>
      <c r="O10" s="22"/>
    </row>
    <row collapsed="false" customFormat="false" customHeight="false" hidden="false" ht="12.1" outlineLevel="0" r="11">
      <c r="A11" s="20" t="n">
        <v>44648.420509259</v>
      </c>
      <c r="B11" s="16" t="s">
        <v>112</v>
      </c>
      <c r="C11" s="16" t="s">
        <v>716</v>
      </c>
      <c r="D11" s="16" t="s">
        <v>587</v>
      </c>
      <c r="E11" s="16" t="s">
        <v>18</v>
      </c>
      <c r="F11" s="16" t="s">
        <v>20</v>
      </c>
      <c r="G11" s="7" t="n">
        <v>1</v>
      </c>
      <c r="H11" s="6" t="n">
        <v>75.54</v>
      </c>
      <c r="I11" s="6" t="n">
        <v>-75.54</v>
      </c>
      <c r="J11" s="6" t="n">
        <v>0</v>
      </c>
      <c r="K11" s="6" t="n">
        <v>-0.06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44648.457928241</v>
      </c>
      <c r="B12" s="16" t="s">
        <v>592</v>
      </c>
      <c r="C12" s="16" t="s">
        <v>717</v>
      </c>
      <c r="D12" s="16" t="s">
        <v>587</v>
      </c>
      <c r="E12" s="16" t="s">
        <v>18</v>
      </c>
      <c r="F12" s="16" t="s">
        <v>20</v>
      </c>
      <c r="G12" s="7" t="n">
        <v>1</v>
      </c>
      <c r="H12" s="6" t="n">
        <v>70</v>
      </c>
      <c r="I12" s="6" t="n">
        <v>-70</v>
      </c>
      <c r="J12" s="6" t="n">
        <v>0</v>
      </c>
      <c r="K12" s="6" t="n">
        <v>-0.06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44649.562708333</v>
      </c>
      <c r="B13" s="16" t="s">
        <v>90</v>
      </c>
      <c r="C13" s="16" t="s">
        <v>718</v>
      </c>
      <c r="D13" s="16" t="s">
        <v>587</v>
      </c>
      <c r="E13" s="16" t="s">
        <v>18</v>
      </c>
      <c r="F13" s="16" t="s">
        <v>20</v>
      </c>
      <c r="G13" s="7" t="n">
        <v>100</v>
      </c>
      <c r="H13" s="6" t="n">
        <v>1.93</v>
      </c>
      <c r="I13" s="6" t="n">
        <v>-193</v>
      </c>
      <c r="J13" s="6" t="n">
        <v>0</v>
      </c>
      <c r="K13" s="6" t="n">
        <v>-0.12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1" t="n">
        <v>44650</v>
      </c>
      <c r="B14" s="22" t="s">
        <v>710</v>
      </c>
      <c r="C14" s="22" t="s">
        <v>255</v>
      </c>
      <c r="D14" s="22" t="s">
        <v>710</v>
      </c>
      <c r="E14" s="22" t="s">
        <v>710</v>
      </c>
      <c r="F14" s="22" t="s">
        <v>20</v>
      </c>
      <c r="G14" s="23" t="n">
        <v>2</v>
      </c>
      <c r="H14" s="24" t="n">
        <v>830</v>
      </c>
      <c r="I14" s="24" t="n">
        <v>1660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4"/>
      <c r="O14" s="22"/>
    </row>
    <row collapsed="false" customFormat="false" customHeight="false" hidden="false" ht="12.1" outlineLevel="0" r="15">
      <c r="A15" s="21" t="n">
        <v>44651</v>
      </c>
      <c r="B15" s="22" t="s">
        <v>710</v>
      </c>
      <c r="C15" s="22" t="s">
        <v>255</v>
      </c>
      <c r="D15" s="22" t="s">
        <v>710</v>
      </c>
      <c r="E15" s="22" t="s">
        <v>710</v>
      </c>
      <c r="F15" s="22" t="s">
        <v>20</v>
      </c>
      <c r="G15" s="23" t="n">
        <v>1</v>
      </c>
      <c r="H15" s="24" t="n">
        <v>40</v>
      </c>
      <c r="I15" s="24" t="n">
        <v>40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4"/>
      <c r="O15" s="22"/>
    </row>
    <row collapsed="false" customFormat="false" customHeight="false" hidden="false" ht="12.1" outlineLevel="0" r="16">
      <c r="A16" s="20" t="n">
        <v>44651.437118056</v>
      </c>
      <c r="B16" s="16" t="s">
        <v>124</v>
      </c>
      <c r="C16" s="16" t="s">
        <v>719</v>
      </c>
      <c r="D16" s="16" t="s">
        <v>587</v>
      </c>
      <c r="E16" s="16" t="s">
        <v>122</v>
      </c>
      <c r="F16" s="16" t="s">
        <v>20</v>
      </c>
      <c r="G16" s="7" t="n">
        <v>1</v>
      </c>
      <c r="H16" s="6" t="n">
        <v>99.95</v>
      </c>
      <c r="I16" s="6" t="n">
        <v>-99.95</v>
      </c>
      <c r="J16" s="6" t="n">
        <v>0</v>
      </c>
      <c r="K16" s="6" t="n">
        <v>-0.02</v>
      </c>
      <c r="L16" s="6" t="n">
        <v>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44651.474849537</v>
      </c>
      <c r="B17" s="16" t="s">
        <v>593</v>
      </c>
      <c r="C17" s="16" t="s">
        <v>720</v>
      </c>
      <c r="D17" s="16" t="s">
        <v>587</v>
      </c>
      <c r="E17" s="16" t="s">
        <v>18</v>
      </c>
      <c r="F17" s="16" t="s">
        <v>20</v>
      </c>
      <c r="G17" s="7" t="n">
        <v>10</v>
      </c>
      <c r="H17" s="6" t="n">
        <v>138.7</v>
      </c>
      <c r="I17" s="6" t="n">
        <v>-1387</v>
      </c>
      <c r="J17" s="6" t="n">
        <v>0</v>
      </c>
      <c r="K17" s="6" t="n">
        <v>-0.83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1" t="n">
        <v>44655</v>
      </c>
      <c r="B18" s="22" t="s">
        <v>710</v>
      </c>
      <c r="C18" s="22" t="s">
        <v>255</v>
      </c>
      <c r="D18" s="22" t="s">
        <v>710</v>
      </c>
      <c r="E18" s="22" t="s">
        <v>710</v>
      </c>
      <c r="F18" s="22" t="s">
        <v>20</v>
      </c>
      <c r="G18" s="23" t="n">
        <v>1</v>
      </c>
      <c r="H18" s="24" t="n">
        <v>1400</v>
      </c>
      <c r="I18" s="24" t="n">
        <v>1400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4"/>
      <c r="O18" s="22"/>
    </row>
    <row collapsed="false" customFormat="false" customHeight="false" hidden="false" ht="12.1" outlineLevel="0" r="19">
      <c r="A19" s="20" t="n">
        <v>44655.526493056</v>
      </c>
      <c r="B19" s="16" t="s">
        <v>128</v>
      </c>
      <c r="C19" s="16" t="s">
        <v>721</v>
      </c>
      <c r="D19" s="16" t="s">
        <v>587</v>
      </c>
      <c r="E19" s="16" t="s">
        <v>122</v>
      </c>
      <c r="F19" s="16" t="s">
        <v>20</v>
      </c>
      <c r="G19" s="7" t="n">
        <v>1600</v>
      </c>
      <c r="H19" s="6" t="n">
        <v>1.1262</v>
      </c>
      <c r="I19" s="6" t="n">
        <v>-1801.92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44657.765277778</v>
      </c>
      <c r="B20" s="16" t="s">
        <v>130</v>
      </c>
      <c r="C20" s="16" t="s">
        <v>722</v>
      </c>
      <c r="D20" s="16" t="s">
        <v>587</v>
      </c>
      <c r="E20" s="16" t="s">
        <v>122</v>
      </c>
      <c r="F20" s="16" t="s">
        <v>20</v>
      </c>
      <c r="G20" s="7" t="n">
        <v>100</v>
      </c>
      <c r="H20" s="6" t="n">
        <v>1.2239</v>
      </c>
      <c r="I20" s="6" t="n">
        <v>-122.39</v>
      </c>
      <c r="J20" s="6" t="n">
        <v>0</v>
      </c>
      <c r="K20" s="6" t="n">
        <v>-0.02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44658.453020833</v>
      </c>
      <c r="B21" s="16" t="s">
        <v>130</v>
      </c>
      <c r="C21" s="16" t="s">
        <v>722</v>
      </c>
      <c r="D21" s="16" t="s">
        <v>587</v>
      </c>
      <c r="E21" s="16" t="s">
        <v>122</v>
      </c>
      <c r="F21" s="16" t="s">
        <v>20</v>
      </c>
      <c r="G21" s="7" t="n">
        <v>70</v>
      </c>
      <c r="H21" s="6" t="n">
        <v>1.1848</v>
      </c>
      <c r="I21" s="6" t="n">
        <v>-82.94</v>
      </c>
      <c r="J21" s="6" t="n">
        <v>0</v>
      </c>
      <c r="K21" s="6" t="n">
        <v>-0.02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5" t="n">
        <v>44658.530196759</v>
      </c>
      <c r="B22" s="26" t="s">
        <v>128</v>
      </c>
      <c r="C22" s="26" t="s">
        <v>721</v>
      </c>
      <c r="D22" s="26" t="s">
        <v>588</v>
      </c>
      <c r="E22" s="26" t="s">
        <v>122</v>
      </c>
      <c r="F22" s="26" t="s">
        <v>20</v>
      </c>
      <c r="G22" s="27" t="n">
        <v>-900</v>
      </c>
      <c r="H22" s="28" t="n">
        <v>1.1286</v>
      </c>
      <c r="I22" s="28" t="n">
        <v>1015.74</v>
      </c>
      <c r="J22" s="28" t="n">
        <v>0</v>
      </c>
      <c r="K22" s="28" t="n">
        <v>0</v>
      </c>
      <c r="L22" s="28" t="n">
        <v>0</v>
      </c>
      <c r="M22" s="6" t="s">
        <f>=I22+J22+K22+L22</f>
      </c>
      <c r="N22" s="28"/>
      <c r="O22" s="26"/>
    </row>
    <row collapsed="false" customFormat="false" customHeight="false" hidden="false" ht="12.1" outlineLevel="0" r="23">
      <c r="A23" s="21" t="n">
        <v>44659</v>
      </c>
      <c r="B23" s="22" t="s">
        <v>710</v>
      </c>
      <c r="C23" s="22" t="s">
        <v>255</v>
      </c>
      <c r="D23" s="22" t="s">
        <v>710</v>
      </c>
      <c r="E23" s="22" t="s">
        <v>710</v>
      </c>
      <c r="F23" s="22" t="s">
        <v>20</v>
      </c>
      <c r="G23" s="23" t="n">
        <v>1</v>
      </c>
      <c r="H23" s="24" t="n">
        <v>885</v>
      </c>
      <c r="I23" s="24" t="n">
        <v>885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4"/>
      <c r="O23" s="22"/>
    </row>
    <row collapsed="false" customFormat="false" customHeight="false" hidden="false" ht="12.1" outlineLevel="0" r="24">
      <c r="A24" s="20" t="n">
        <v>44659.442592593</v>
      </c>
      <c r="B24" s="16" t="s">
        <v>594</v>
      </c>
      <c r="C24" s="16" t="s">
        <v>723</v>
      </c>
      <c r="D24" s="16" t="s">
        <v>587</v>
      </c>
      <c r="E24" s="16" t="s">
        <v>122</v>
      </c>
      <c r="F24" s="16" t="s">
        <v>20</v>
      </c>
      <c r="G24" s="7" t="n">
        <v>20</v>
      </c>
      <c r="H24" s="6" t="n">
        <v>36.175</v>
      </c>
      <c r="I24" s="6" t="n">
        <v>-723.5</v>
      </c>
      <c r="J24" s="6" t="n">
        <v>0</v>
      </c>
      <c r="K24" s="6" t="n">
        <v>-0.08</v>
      </c>
      <c r="L24" s="6" t="n">
        <v>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5" t="n">
        <v>44659.495046296</v>
      </c>
      <c r="B25" s="26" t="s">
        <v>128</v>
      </c>
      <c r="C25" s="26" t="s">
        <v>721</v>
      </c>
      <c r="D25" s="26" t="s">
        <v>588</v>
      </c>
      <c r="E25" s="26" t="s">
        <v>122</v>
      </c>
      <c r="F25" s="26" t="s">
        <v>20</v>
      </c>
      <c r="G25" s="27" t="n">
        <v>-700</v>
      </c>
      <c r="H25" s="28" t="n">
        <v>1.129</v>
      </c>
      <c r="I25" s="28" t="n">
        <v>790.3</v>
      </c>
      <c r="J25" s="28" t="n">
        <v>0</v>
      </c>
      <c r="K25" s="28" t="n">
        <v>0</v>
      </c>
      <c r="L25" s="28" t="n">
        <v>0</v>
      </c>
      <c r="M25" s="6" t="s">
        <f>=I25+J25+K25+L25</f>
      </c>
      <c r="N25" s="28"/>
      <c r="O25" s="26"/>
    </row>
    <row collapsed="false" customFormat="false" customHeight="false" hidden="false" ht="12.1" outlineLevel="0" r="26">
      <c r="A26" s="20" t="n">
        <v>44659.495324074</v>
      </c>
      <c r="B26" s="16" t="s">
        <v>595</v>
      </c>
      <c r="C26" s="16" t="s">
        <v>724</v>
      </c>
      <c r="D26" s="16" t="s">
        <v>587</v>
      </c>
      <c r="E26" s="16" t="s">
        <v>135</v>
      </c>
      <c r="F26" s="16" t="s">
        <v>20</v>
      </c>
      <c r="G26" s="7" t="n">
        <v>1</v>
      </c>
      <c r="H26" s="6" t="n">
        <v>86.74</v>
      </c>
      <c r="I26" s="6" t="n">
        <v>-867.4</v>
      </c>
      <c r="J26" s="6" t="n">
        <v>-2.81</v>
      </c>
      <c r="K26" s="6" t="n">
        <v>-0.52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44659.526689815</v>
      </c>
      <c r="B27" s="16" t="s">
        <v>80</v>
      </c>
      <c r="C27" s="16" t="s">
        <v>725</v>
      </c>
      <c r="D27" s="16" t="s">
        <v>587</v>
      </c>
      <c r="E27" s="16" t="s">
        <v>18</v>
      </c>
      <c r="F27" s="16" t="s">
        <v>20</v>
      </c>
      <c r="G27" s="7" t="n">
        <v>10</v>
      </c>
      <c r="H27" s="6" t="n">
        <v>85.29</v>
      </c>
      <c r="I27" s="6" t="n">
        <v>-852.9</v>
      </c>
      <c r="J27" s="6" t="n">
        <v>0</v>
      </c>
      <c r="K27" s="6" t="n">
        <v>-0.52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1" t="n">
        <v>44662</v>
      </c>
      <c r="B28" s="22" t="s">
        <v>710</v>
      </c>
      <c r="C28" s="22" t="s">
        <v>255</v>
      </c>
      <c r="D28" s="22" t="s">
        <v>710</v>
      </c>
      <c r="E28" s="22" t="s">
        <v>710</v>
      </c>
      <c r="F28" s="22" t="s">
        <v>20</v>
      </c>
      <c r="G28" s="23" t="n">
        <v>1</v>
      </c>
      <c r="H28" s="24" t="n">
        <v>200</v>
      </c>
      <c r="I28" s="24" t="n">
        <v>200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4"/>
      <c r="O28" s="22"/>
    </row>
    <row collapsed="false" customFormat="false" customHeight="false" hidden="false" ht="12.1" outlineLevel="0" r="29">
      <c r="A29" s="20" t="n">
        <v>44662.539722222</v>
      </c>
      <c r="B29" s="16" t="s">
        <v>128</v>
      </c>
      <c r="C29" s="16" t="s">
        <v>721</v>
      </c>
      <c r="D29" s="16" t="s">
        <v>587</v>
      </c>
      <c r="E29" s="16" t="s">
        <v>122</v>
      </c>
      <c r="F29" s="16" t="s">
        <v>20</v>
      </c>
      <c r="G29" s="7" t="n">
        <v>380</v>
      </c>
      <c r="H29" s="6" t="n">
        <v>1.13</v>
      </c>
      <c r="I29" s="6" t="n">
        <v>-429.4</v>
      </c>
      <c r="J29" s="6" t="n">
        <v>0</v>
      </c>
      <c r="K29" s="6" t="n">
        <v>0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5" t="n">
        <v>44663.472384259</v>
      </c>
      <c r="B30" s="26" t="s">
        <v>128</v>
      </c>
      <c r="C30" s="26" t="s">
        <v>721</v>
      </c>
      <c r="D30" s="26" t="s">
        <v>588</v>
      </c>
      <c r="E30" s="26" t="s">
        <v>122</v>
      </c>
      <c r="F30" s="26" t="s">
        <v>20</v>
      </c>
      <c r="G30" s="27" t="n">
        <v>-70</v>
      </c>
      <c r="H30" s="28" t="n">
        <v>1.1305</v>
      </c>
      <c r="I30" s="28" t="n">
        <v>79.14</v>
      </c>
      <c r="J30" s="28" t="n">
        <v>0</v>
      </c>
      <c r="K30" s="28" t="n">
        <v>0</v>
      </c>
      <c r="L30" s="28" t="n">
        <v>0</v>
      </c>
      <c r="M30" s="6" t="s">
        <f>=I30+J30+K30+L30</f>
      </c>
      <c r="N30" s="28"/>
      <c r="O30" s="26"/>
    </row>
    <row collapsed="false" customFormat="false" customHeight="false" hidden="false" ht="12.1" outlineLevel="0" r="31">
      <c r="A31" s="20" t="n">
        <v>44666.464965278</v>
      </c>
      <c r="B31" s="16" t="s">
        <v>124</v>
      </c>
      <c r="C31" s="16" t="s">
        <v>719</v>
      </c>
      <c r="D31" s="16" t="s">
        <v>587</v>
      </c>
      <c r="E31" s="16" t="s">
        <v>122</v>
      </c>
      <c r="F31" s="16" t="s">
        <v>20</v>
      </c>
      <c r="G31" s="7" t="n">
        <v>1</v>
      </c>
      <c r="H31" s="6" t="n">
        <v>95.45</v>
      </c>
      <c r="I31" s="6" t="n">
        <v>-95.45</v>
      </c>
      <c r="J31" s="6" t="n">
        <v>0</v>
      </c>
      <c r="K31" s="6" t="n">
        <v>-0.02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1" t="n">
        <v>44669</v>
      </c>
      <c r="B32" s="22" t="s">
        <v>710</v>
      </c>
      <c r="C32" s="22" t="s">
        <v>255</v>
      </c>
      <c r="D32" s="22" t="s">
        <v>710</v>
      </c>
      <c r="E32" s="22" t="s">
        <v>710</v>
      </c>
      <c r="F32" s="22" t="s">
        <v>20</v>
      </c>
      <c r="G32" s="23" t="n">
        <v>1</v>
      </c>
      <c r="H32" s="24" t="n">
        <v>1000</v>
      </c>
      <c r="I32" s="24" t="n">
        <v>1000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4"/>
      <c r="O32" s="22"/>
    </row>
    <row collapsed="false" customFormat="false" customHeight="false" hidden="false" ht="12.1" outlineLevel="0" r="33">
      <c r="A33" s="21" t="n">
        <v>44670</v>
      </c>
      <c r="B33" s="22" t="s">
        <v>710</v>
      </c>
      <c r="C33" s="22" t="s">
        <v>255</v>
      </c>
      <c r="D33" s="22" t="s">
        <v>710</v>
      </c>
      <c r="E33" s="22" t="s">
        <v>710</v>
      </c>
      <c r="F33" s="22" t="s">
        <v>20</v>
      </c>
      <c r="G33" s="23" t="n">
        <v>3</v>
      </c>
      <c r="H33" s="24" t="n">
        <v>1166.6666666667</v>
      </c>
      <c r="I33" s="24" t="n">
        <v>3500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4"/>
      <c r="O33" s="22"/>
    </row>
    <row collapsed="false" customFormat="false" customHeight="false" hidden="false" ht="12.1" outlineLevel="0" r="34">
      <c r="A34" s="20" t="n">
        <v>44670.458877315</v>
      </c>
      <c r="B34" s="16" t="s">
        <v>110</v>
      </c>
      <c r="C34" s="16" t="s">
        <v>726</v>
      </c>
      <c r="D34" s="16" t="s">
        <v>587</v>
      </c>
      <c r="E34" s="16" t="s">
        <v>18</v>
      </c>
      <c r="F34" s="16" t="s">
        <v>20</v>
      </c>
      <c r="G34" s="7" t="n">
        <v>10</v>
      </c>
      <c r="H34" s="6" t="n">
        <v>76.66</v>
      </c>
      <c r="I34" s="6" t="n">
        <v>-766.6</v>
      </c>
      <c r="J34" s="6" t="n">
        <v>0</v>
      </c>
      <c r="K34" s="6" t="n">
        <v>-0.45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0" t="n">
        <v>44670.599409722</v>
      </c>
      <c r="B35" s="16" t="s">
        <v>68</v>
      </c>
      <c r="C35" s="16" t="s">
        <v>713</v>
      </c>
      <c r="D35" s="16" t="s">
        <v>587</v>
      </c>
      <c r="E35" s="16" t="s">
        <v>18</v>
      </c>
      <c r="F35" s="16" t="s">
        <v>20</v>
      </c>
      <c r="G35" s="7" t="n">
        <v>100</v>
      </c>
      <c r="H35" s="6" t="n">
        <v>11.814</v>
      </c>
      <c r="I35" s="6" t="n">
        <v>-1181.4</v>
      </c>
      <c r="J35" s="6" t="n">
        <v>0</v>
      </c>
      <c r="K35" s="6" t="n">
        <v>-0.71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1" t="n">
        <v>44671</v>
      </c>
      <c r="B36" s="22" t="s">
        <v>710</v>
      </c>
      <c r="C36" s="22" t="s">
        <v>255</v>
      </c>
      <c r="D36" s="22" t="s">
        <v>710</v>
      </c>
      <c r="E36" s="22" t="s">
        <v>710</v>
      </c>
      <c r="F36" s="22" t="s">
        <v>20</v>
      </c>
      <c r="G36" s="23" t="n">
        <v>1</v>
      </c>
      <c r="H36" s="24" t="n">
        <v>1000</v>
      </c>
      <c r="I36" s="24" t="n">
        <v>1000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4"/>
      <c r="O36" s="22"/>
    </row>
    <row collapsed="false" customFormat="false" customHeight="false" hidden="false" ht="12.1" outlineLevel="0" r="37">
      <c r="A37" s="21" t="n">
        <v>44672</v>
      </c>
      <c r="B37" s="22" t="s">
        <v>710</v>
      </c>
      <c r="C37" s="22" t="s">
        <v>255</v>
      </c>
      <c r="D37" s="22" t="s">
        <v>710</v>
      </c>
      <c r="E37" s="22" t="s">
        <v>710</v>
      </c>
      <c r="F37" s="22" t="s">
        <v>20</v>
      </c>
      <c r="G37" s="23" t="n">
        <v>2</v>
      </c>
      <c r="H37" s="24" t="n">
        <v>1750</v>
      </c>
      <c r="I37" s="24" t="n">
        <v>3500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4"/>
      <c r="O37" s="22"/>
    </row>
    <row collapsed="false" customFormat="false" customHeight="false" hidden="false" ht="12.1" outlineLevel="0" r="38">
      <c r="A38" s="20" t="n">
        <v>44672.607962963</v>
      </c>
      <c r="B38" s="16" t="s">
        <v>92</v>
      </c>
      <c r="C38" s="16" t="s">
        <v>727</v>
      </c>
      <c r="D38" s="16" t="s">
        <v>587</v>
      </c>
      <c r="E38" s="16" t="s">
        <v>18</v>
      </c>
      <c r="F38" s="16" t="s">
        <v>20</v>
      </c>
      <c r="G38" s="7" t="n">
        <v>1</v>
      </c>
      <c r="H38" s="6" t="n">
        <v>890</v>
      </c>
      <c r="I38" s="6" t="n">
        <v>-890</v>
      </c>
      <c r="J38" s="6" t="n">
        <v>0</v>
      </c>
      <c r="K38" s="6" t="n">
        <v>-0.54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44672.74375</v>
      </c>
      <c r="B39" s="16" t="s">
        <v>54</v>
      </c>
      <c r="C39" s="16" t="s">
        <v>728</v>
      </c>
      <c r="D39" s="16" t="s">
        <v>587</v>
      </c>
      <c r="E39" s="16" t="s">
        <v>18</v>
      </c>
      <c r="F39" s="16" t="s">
        <v>20</v>
      </c>
      <c r="G39" s="7" t="n">
        <v>1</v>
      </c>
      <c r="H39" s="6" t="n">
        <v>3988.5</v>
      </c>
      <c r="I39" s="6" t="n">
        <v>-3988.5</v>
      </c>
      <c r="J39" s="6" t="n">
        <v>0</v>
      </c>
      <c r="K39" s="6" t="n">
        <v>-2.39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1" t="n">
        <v>44673</v>
      </c>
      <c r="B40" s="22" t="s">
        <v>710</v>
      </c>
      <c r="C40" s="22" t="s">
        <v>255</v>
      </c>
      <c r="D40" s="22" t="s">
        <v>710</v>
      </c>
      <c r="E40" s="22" t="s">
        <v>710</v>
      </c>
      <c r="F40" s="22" t="s">
        <v>20</v>
      </c>
      <c r="G40" s="23" t="n">
        <v>1</v>
      </c>
      <c r="H40" s="24" t="n">
        <v>5000</v>
      </c>
      <c r="I40" s="24" t="n">
        <v>5000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4"/>
      <c r="O40" s="22"/>
    </row>
    <row collapsed="false" customFormat="false" customHeight="false" hidden="false" ht="12.1" outlineLevel="0" r="41">
      <c r="A41" s="20" t="n">
        <v>44673.429513889</v>
      </c>
      <c r="B41" s="16" t="s">
        <v>130</v>
      </c>
      <c r="C41" s="16" t="s">
        <v>722</v>
      </c>
      <c r="D41" s="16" t="s">
        <v>587</v>
      </c>
      <c r="E41" s="16" t="s">
        <v>122</v>
      </c>
      <c r="F41" s="16" t="s">
        <v>20</v>
      </c>
      <c r="G41" s="7" t="n">
        <v>90</v>
      </c>
      <c r="H41" s="6" t="n">
        <v>1.188</v>
      </c>
      <c r="I41" s="6" t="n">
        <v>-106.92</v>
      </c>
      <c r="J41" s="6" t="n">
        <v>0</v>
      </c>
      <c r="K41" s="6" t="n">
        <v>-0.02</v>
      </c>
      <c r="L41" s="6" t="n">
        <v>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0" t="n">
        <v>44673.528865741</v>
      </c>
      <c r="B42" s="16" t="s">
        <v>54</v>
      </c>
      <c r="C42" s="16" t="s">
        <v>728</v>
      </c>
      <c r="D42" s="16" t="s">
        <v>587</v>
      </c>
      <c r="E42" s="16" t="s">
        <v>18</v>
      </c>
      <c r="F42" s="16" t="s">
        <v>20</v>
      </c>
      <c r="G42" s="7" t="n">
        <v>1</v>
      </c>
      <c r="H42" s="6" t="n">
        <v>3800</v>
      </c>
      <c r="I42" s="6" t="n">
        <v>-3800</v>
      </c>
      <c r="J42" s="6" t="n">
        <v>0</v>
      </c>
      <c r="K42" s="6" t="n">
        <v>-2.28</v>
      </c>
      <c r="L42" s="6" t="n">
        <v>0</v>
      </c>
      <c r="M42" s="6" t="s">
        <f>=I42+J42+K42+L42</f>
      </c>
      <c r="N42" s="6"/>
      <c r="O42" s="16"/>
    </row>
    <row collapsed="false" customFormat="false" customHeight="false" hidden="false" ht="12.1" outlineLevel="0" r="43">
      <c r="A43" s="20" t="n">
        <v>44673.739525463</v>
      </c>
      <c r="B43" s="16" t="s">
        <v>94</v>
      </c>
      <c r="C43" s="16" t="s">
        <v>729</v>
      </c>
      <c r="D43" s="16" t="s">
        <v>587</v>
      </c>
      <c r="E43" s="16" t="s">
        <v>18</v>
      </c>
      <c r="F43" s="16" t="s">
        <v>20</v>
      </c>
      <c r="G43" s="7" t="n">
        <v>10</v>
      </c>
      <c r="H43" s="6" t="n">
        <v>207.16</v>
      </c>
      <c r="I43" s="6" t="n">
        <v>-2071.6</v>
      </c>
      <c r="J43" s="6" t="n">
        <v>0</v>
      </c>
      <c r="K43" s="6" t="n">
        <v>-1.25</v>
      </c>
      <c r="L43" s="6" t="n">
        <v>0</v>
      </c>
      <c r="M43" s="6" t="s">
        <f>=I43+J43+K43+L43</f>
      </c>
      <c r="N43" s="6"/>
      <c r="O43" s="16"/>
    </row>
    <row collapsed="false" customFormat="false" customHeight="false" hidden="false" ht="12.1" outlineLevel="0" r="44">
      <c r="A44" s="20" t="n">
        <v>44676.566400463</v>
      </c>
      <c r="B44" s="16" t="s">
        <v>130</v>
      </c>
      <c r="C44" s="16" t="s">
        <v>722</v>
      </c>
      <c r="D44" s="16" t="s">
        <v>587</v>
      </c>
      <c r="E44" s="16" t="s">
        <v>122</v>
      </c>
      <c r="F44" s="16" t="s">
        <v>20</v>
      </c>
      <c r="G44" s="7" t="n">
        <v>200</v>
      </c>
      <c r="H44" s="6" t="n">
        <v>1.17</v>
      </c>
      <c r="I44" s="6" t="n">
        <v>-234</v>
      </c>
      <c r="J44" s="6" t="n">
        <v>0</v>
      </c>
      <c r="K44" s="6" t="n">
        <v>-0.04</v>
      </c>
      <c r="L44" s="6" t="n">
        <v>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0" t="n">
        <v>44677.581145833</v>
      </c>
      <c r="B45" s="16" t="s">
        <v>130</v>
      </c>
      <c r="C45" s="16" t="s">
        <v>722</v>
      </c>
      <c r="D45" s="16" t="s">
        <v>587</v>
      </c>
      <c r="E45" s="16" t="s">
        <v>122</v>
      </c>
      <c r="F45" s="16" t="s">
        <v>20</v>
      </c>
      <c r="G45" s="7" t="n">
        <v>300</v>
      </c>
      <c r="H45" s="6" t="n">
        <v>1.14</v>
      </c>
      <c r="I45" s="6" t="n">
        <v>-342</v>
      </c>
      <c r="J45" s="6" t="n">
        <v>0</v>
      </c>
      <c r="K45" s="6" t="n">
        <v>-0.03</v>
      </c>
      <c r="L45" s="6" t="n">
        <v>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0" t="n">
        <v>44678.516377315</v>
      </c>
      <c r="B46" s="16" t="s">
        <v>130</v>
      </c>
      <c r="C46" s="16" t="s">
        <v>722</v>
      </c>
      <c r="D46" s="16" t="s">
        <v>587</v>
      </c>
      <c r="E46" s="16" t="s">
        <v>122</v>
      </c>
      <c r="F46" s="16" t="s">
        <v>20</v>
      </c>
      <c r="G46" s="7" t="n">
        <v>200</v>
      </c>
      <c r="H46" s="6" t="n">
        <v>1.13</v>
      </c>
      <c r="I46" s="6" t="n">
        <v>-226</v>
      </c>
      <c r="J46" s="6" t="n">
        <v>0</v>
      </c>
      <c r="K46" s="6" t="n">
        <v>-0.02</v>
      </c>
      <c r="L46" s="6" t="n">
        <v>0</v>
      </c>
      <c r="M46" s="6" t="s">
        <f>=I46+J46+K46+L46</f>
      </c>
      <c r="N46" s="6"/>
      <c r="O46" s="16"/>
    </row>
    <row collapsed="false" customFormat="false" customHeight="false" hidden="false" ht="12.1" outlineLevel="0" r="47">
      <c r="A47" s="21" t="n">
        <v>44685</v>
      </c>
      <c r="B47" s="22" t="s">
        <v>710</v>
      </c>
      <c r="C47" s="22" t="s">
        <v>255</v>
      </c>
      <c r="D47" s="22" t="s">
        <v>710</v>
      </c>
      <c r="E47" s="22" t="s">
        <v>710</v>
      </c>
      <c r="F47" s="22" t="s">
        <v>20</v>
      </c>
      <c r="G47" s="23" t="n">
        <v>2</v>
      </c>
      <c r="H47" s="24" t="n">
        <v>650</v>
      </c>
      <c r="I47" s="24" t="n">
        <v>1300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4"/>
      <c r="O47" s="22"/>
    </row>
    <row collapsed="false" customFormat="false" customHeight="false" hidden="false" ht="12.1" outlineLevel="0" r="48">
      <c r="A48" s="20" t="n">
        <v>44685.699803241</v>
      </c>
      <c r="B48" s="16" t="s">
        <v>130</v>
      </c>
      <c r="C48" s="16" t="s">
        <v>722</v>
      </c>
      <c r="D48" s="16" t="s">
        <v>587</v>
      </c>
      <c r="E48" s="16" t="s">
        <v>122</v>
      </c>
      <c r="F48" s="16" t="s">
        <v>20</v>
      </c>
      <c r="G48" s="7" t="n">
        <v>100</v>
      </c>
      <c r="H48" s="6" t="n">
        <v>1.09</v>
      </c>
      <c r="I48" s="6" t="n">
        <v>-109</v>
      </c>
      <c r="J48" s="6" t="n">
        <v>0</v>
      </c>
      <c r="K48" s="6" t="n">
        <v>-0.02</v>
      </c>
      <c r="L48" s="6" t="n">
        <v>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0" t="n">
        <v>44686.495173611</v>
      </c>
      <c r="B49" s="16" t="s">
        <v>130</v>
      </c>
      <c r="C49" s="16" t="s">
        <v>722</v>
      </c>
      <c r="D49" s="16" t="s">
        <v>587</v>
      </c>
      <c r="E49" s="16" t="s">
        <v>122</v>
      </c>
      <c r="F49" s="16" t="s">
        <v>20</v>
      </c>
      <c r="G49" s="7" t="n">
        <v>100</v>
      </c>
      <c r="H49" s="6" t="n">
        <v>1.06</v>
      </c>
      <c r="I49" s="6" t="n">
        <v>-106</v>
      </c>
      <c r="J49" s="6" t="n">
        <v>0</v>
      </c>
      <c r="K49" s="6" t="n">
        <v>-0.02</v>
      </c>
      <c r="L49" s="6" t="n">
        <v>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1" t="n">
        <v>44687</v>
      </c>
      <c r="B50" s="22" t="s">
        <v>710</v>
      </c>
      <c r="C50" s="22" t="s">
        <v>255</v>
      </c>
      <c r="D50" s="22" t="s">
        <v>710</v>
      </c>
      <c r="E50" s="22" t="s">
        <v>710</v>
      </c>
      <c r="F50" s="22" t="s">
        <v>20</v>
      </c>
      <c r="G50" s="23" t="n">
        <v>1</v>
      </c>
      <c r="H50" s="24" t="n">
        <v>113</v>
      </c>
      <c r="I50" s="24" t="n">
        <v>113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4"/>
      <c r="O50" s="22"/>
    </row>
    <row collapsed="false" customFormat="false" customHeight="false" hidden="false" ht="12.1" outlineLevel="0" r="51">
      <c r="A51" s="20" t="n">
        <v>44687.769780093</v>
      </c>
      <c r="B51" s="16" t="s">
        <v>128</v>
      </c>
      <c r="C51" s="16" t="s">
        <v>721</v>
      </c>
      <c r="D51" s="16" t="s">
        <v>587</v>
      </c>
      <c r="E51" s="16" t="s">
        <v>122</v>
      </c>
      <c r="F51" s="16" t="s">
        <v>20</v>
      </c>
      <c r="G51" s="7" t="n">
        <v>1300</v>
      </c>
      <c r="H51" s="6" t="n">
        <v>1.1439</v>
      </c>
      <c r="I51" s="6" t="n">
        <v>-1487.07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0" t="n">
        <v>44693.418541667</v>
      </c>
      <c r="B52" s="16" t="s">
        <v>130</v>
      </c>
      <c r="C52" s="16" t="s">
        <v>722</v>
      </c>
      <c r="D52" s="16" t="s">
        <v>587</v>
      </c>
      <c r="E52" s="16" t="s">
        <v>122</v>
      </c>
      <c r="F52" s="16" t="s">
        <v>20</v>
      </c>
      <c r="G52" s="7" t="n">
        <v>80</v>
      </c>
      <c r="H52" s="6" t="n">
        <v>1.0477</v>
      </c>
      <c r="I52" s="6" t="n">
        <v>-83.82</v>
      </c>
      <c r="J52" s="6" t="n">
        <v>0</v>
      </c>
      <c r="K52" s="6" t="n">
        <v>-0.02</v>
      </c>
      <c r="L52" s="6" t="n">
        <v>0</v>
      </c>
      <c r="M52" s="6" t="s">
        <f>=I52+J52+K52+L52</f>
      </c>
      <c r="N52" s="6"/>
      <c r="O52" s="16"/>
    </row>
    <row collapsed="false" customFormat="false" customHeight="false" hidden="false" ht="12.1" outlineLevel="0" r="53">
      <c r="A53" s="21" t="n">
        <v>44694</v>
      </c>
      <c r="B53" s="22" t="s">
        <v>710</v>
      </c>
      <c r="C53" s="22" t="s">
        <v>255</v>
      </c>
      <c r="D53" s="22" t="s">
        <v>710</v>
      </c>
      <c r="E53" s="22" t="s">
        <v>710</v>
      </c>
      <c r="F53" s="22" t="s">
        <v>20</v>
      </c>
      <c r="G53" s="23" t="n">
        <v>1</v>
      </c>
      <c r="H53" s="24" t="n">
        <v>78</v>
      </c>
      <c r="I53" s="24" t="n">
        <v>78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4"/>
      <c r="O53" s="22"/>
    </row>
    <row collapsed="false" customFormat="false" customHeight="false" hidden="false" ht="12.1" outlineLevel="0" r="54">
      <c r="A54" s="25" t="n">
        <v>44694.432511574</v>
      </c>
      <c r="B54" s="26" t="s">
        <v>128</v>
      </c>
      <c r="C54" s="26" t="s">
        <v>721</v>
      </c>
      <c r="D54" s="26" t="s">
        <v>588</v>
      </c>
      <c r="E54" s="26" t="s">
        <v>122</v>
      </c>
      <c r="F54" s="26" t="s">
        <v>20</v>
      </c>
      <c r="G54" s="27" t="n">
        <v>-1610</v>
      </c>
      <c r="H54" s="28" t="n">
        <v>1.1456347826087</v>
      </c>
      <c r="I54" s="28" t="n">
        <v>1844.47</v>
      </c>
      <c r="J54" s="28" t="n">
        <v>0</v>
      </c>
      <c r="K54" s="28" t="n">
        <v>0</v>
      </c>
      <c r="L54" s="28" t="n">
        <v>0</v>
      </c>
      <c r="M54" s="6" t="s">
        <f>=I54+J54+K54+L54</f>
      </c>
      <c r="N54" s="28"/>
      <c r="O54" s="26"/>
    </row>
    <row collapsed="false" customFormat="false" customHeight="false" hidden="false" ht="12.1" outlineLevel="0" r="55">
      <c r="A55" s="25" t="n">
        <v>44697.717152778</v>
      </c>
      <c r="B55" s="26" t="s">
        <v>54</v>
      </c>
      <c r="C55" s="26" t="s">
        <v>728</v>
      </c>
      <c r="D55" s="26" t="s">
        <v>588</v>
      </c>
      <c r="E55" s="26" t="s">
        <v>18</v>
      </c>
      <c r="F55" s="26" t="s">
        <v>20</v>
      </c>
      <c r="G55" s="27" t="n">
        <v>-1</v>
      </c>
      <c r="H55" s="28" t="n">
        <v>4578</v>
      </c>
      <c r="I55" s="28" t="n">
        <v>4578</v>
      </c>
      <c r="J55" s="28" t="n">
        <v>0</v>
      </c>
      <c r="K55" s="28" t="n">
        <v>-2.74</v>
      </c>
      <c r="L55" s="28" t="n">
        <v>0</v>
      </c>
      <c r="M55" s="6" t="s">
        <f>=I55+J55+K55+L55</f>
      </c>
      <c r="N55" s="28"/>
      <c r="O55" s="26"/>
    </row>
    <row collapsed="false" customFormat="false" customHeight="false" hidden="false" ht="12.1" outlineLevel="0" r="56">
      <c r="A56" s="20" t="n">
        <v>44697.734710648</v>
      </c>
      <c r="B56" s="16" t="s">
        <v>128</v>
      </c>
      <c r="C56" s="16" t="s">
        <v>721</v>
      </c>
      <c r="D56" s="16" t="s">
        <v>587</v>
      </c>
      <c r="E56" s="16" t="s">
        <v>122</v>
      </c>
      <c r="F56" s="16" t="s">
        <v>20</v>
      </c>
      <c r="G56" s="7" t="n">
        <v>5300</v>
      </c>
      <c r="H56" s="6" t="n">
        <v>1.1463</v>
      </c>
      <c r="I56" s="6" t="n">
        <v>-6075.39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5" t="n">
        <v>44700.416377315</v>
      </c>
      <c r="B57" s="26" t="s">
        <v>128</v>
      </c>
      <c r="C57" s="26" t="s">
        <v>721</v>
      </c>
      <c r="D57" s="26" t="s">
        <v>588</v>
      </c>
      <c r="E57" s="26" t="s">
        <v>122</v>
      </c>
      <c r="F57" s="26" t="s">
        <v>20</v>
      </c>
      <c r="G57" s="27" t="n">
        <v>-3200</v>
      </c>
      <c r="H57" s="28" t="n">
        <v>1.1484</v>
      </c>
      <c r="I57" s="28" t="n">
        <v>3674.88</v>
      </c>
      <c r="J57" s="28" t="n">
        <v>0</v>
      </c>
      <c r="K57" s="28" t="n">
        <v>0</v>
      </c>
      <c r="L57" s="28" t="n">
        <v>0</v>
      </c>
      <c r="M57" s="6" t="s">
        <f>=I57+J57+K57+L57</f>
      </c>
      <c r="N57" s="28"/>
      <c r="O57" s="26"/>
    </row>
    <row collapsed="false" customFormat="false" customHeight="false" hidden="false" ht="12.1" outlineLevel="0" r="58">
      <c r="A58" s="20" t="n">
        <v>44700.418159722</v>
      </c>
      <c r="B58" s="16" t="s">
        <v>25</v>
      </c>
      <c r="C58" s="16" t="s">
        <v>730</v>
      </c>
      <c r="D58" s="16" t="s">
        <v>587</v>
      </c>
      <c r="E58" s="16" t="s">
        <v>18</v>
      </c>
      <c r="F58" s="16" t="s">
        <v>20</v>
      </c>
      <c r="G58" s="7" t="n">
        <v>100</v>
      </c>
      <c r="H58" s="6" t="n">
        <v>36.4</v>
      </c>
      <c r="I58" s="6" t="n">
        <v>-3640</v>
      </c>
      <c r="J58" s="6" t="n">
        <v>0</v>
      </c>
      <c r="K58" s="6" t="n">
        <v>-2.18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1" t="n">
        <v>44705</v>
      </c>
      <c r="B59" s="22" t="s">
        <v>710</v>
      </c>
      <c r="C59" s="22" t="s">
        <v>255</v>
      </c>
      <c r="D59" s="22" t="s">
        <v>710</v>
      </c>
      <c r="E59" s="22" t="s">
        <v>710</v>
      </c>
      <c r="F59" s="22" t="s">
        <v>20</v>
      </c>
      <c r="G59" s="23" t="n">
        <v>1</v>
      </c>
      <c r="H59" s="24" t="n">
        <v>1318</v>
      </c>
      <c r="I59" s="24" t="n">
        <v>1318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4"/>
      <c r="O59" s="22"/>
    </row>
    <row collapsed="false" customFormat="false" customHeight="false" hidden="false" ht="12.1" outlineLevel="0" r="60">
      <c r="A60" s="25" t="n">
        <v>44705.427314815</v>
      </c>
      <c r="B60" s="26" t="s">
        <v>128</v>
      </c>
      <c r="C60" s="26" t="s">
        <v>721</v>
      </c>
      <c r="D60" s="26" t="s">
        <v>588</v>
      </c>
      <c r="E60" s="26" t="s">
        <v>122</v>
      </c>
      <c r="F60" s="26" t="s">
        <v>20</v>
      </c>
      <c r="G60" s="27" t="n">
        <v>-1800</v>
      </c>
      <c r="H60" s="28" t="n">
        <v>1.1495</v>
      </c>
      <c r="I60" s="28" t="n">
        <v>2069.1</v>
      </c>
      <c r="J60" s="28" t="n">
        <v>0</v>
      </c>
      <c r="K60" s="28" t="n">
        <v>0</v>
      </c>
      <c r="L60" s="28" t="n">
        <v>0</v>
      </c>
      <c r="M60" s="6" t="s">
        <f>=I60+J60+K60+L60</f>
      </c>
      <c r="N60" s="28"/>
      <c r="O60" s="26"/>
    </row>
    <row collapsed="false" customFormat="false" customHeight="false" hidden="false" ht="12.1" outlineLevel="0" r="61">
      <c r="A61" s="20" t="n">
        <v>44706.737361111</v>
      </c>
      <c r="B61" s="16" t="s">
        <v>130</v>
      </c>
      <c r="C61" s="16" t="s">
        <v>722</v>
      </c>
      <c r="D61" s="16" t="s">
        <v>587</v>
      </c>
      <c r="E61" s="16" t="s">
        <v>122</v>
      </c>
      <c r="F61" s="16" t="s">
        <v>20</v>
      </c>
      <c r="G61" s="7" t="n">
        <v>600</v>
      </c>
      <c r="H61" s="6" t="n">
        <v>0.943684</v>
      </c>
      <c r="I61" s="6" t="n">
        <v>-566.22</v>
      </c>
      <c r="J61" s="6" t="n">
        <v>0</v>
      </c>
      <c r="K61" s="6" t="n">
        <v>-0.07</v>
      </c>
      <c r="L61" s="6" t="n">
        <v>0</v>
      </c>
      <c r="M61" s="6" t="s">
        <f>=I61+J61+K61+L61</f>
      </c>
      <c r="N61" s="6"/>
      <c r="O61" s="16"/>
    </row>
    <row collapsed="false" customFormat="false" customHeight="false" hidden="false" ht="12.1" outlineLevel="0" r="62">
      <c r="A62" s="20" t="n">
        <v>44707.417893519</v>
      </c>
      <c r="B62" s="16" t="s">
        <v>82</v>
      </c>
      <c r="C62" s="16" t="s">
        <v>731</v>
      </c>
      <c r="D62" s="16" t="s">
        <v>587</v>
      </c>
      <c r="E62" s="16" t="s">
        <v>18</v>
      </c>
      <c r="F62" s="16" t="s">
        <v>20</v>
      </c>
      <c r="G62" s="7" t="n">
        <v>1000</v>
      </c>
      <c r="H62" s="6" t="n">
        <v>1.235</v>
      </c>
      <c r="I62" s="6" t="n">
        <v>-1235</v>
      </c>
      <c r="J62" s="6" t="n">
        <v>0</v>
      </c>
      <c r="K62" s="6" t="n">
        <v>-0.74</v>
      </c>
      <c r="L62" s="6" t="n">
        <v>0</v>
      </c>
      <c r="M62" s="6" t="s">
        <f>=I62+J62+K62+L62</f>
      </c>
      <c r="N62" s="6"/>
      <c r="O62" s="16"/>
    </row>
    <row collapsed="false" customFormat="false" customHeight="false" hidden="false" ht="12.1" outlineLevel="0" r="63">
      <c r="A63" s="20" t="n">
        <v>44707.745868056</v>
      </c>
      <c r="B63" s="16" t="s">
        <v>128</v>
      </c>
      <c r="C63" s="16" t="s">
        <v>721</v>
      </c>
      <c r="D63" s="16" t="s">
        <v>587</v>
      </c>
      <c r="E63" s="16" t="s">
        <v>122</v>
      </c>
      <c r="F63" s="16" t="s">
        <v>20</v>
      </c>
      <c r="G63" s="7" t="n">
        <v>1750</v>
      </c>
      <c r="H63" s="6" t="n">
        <v>1.1512</v>
      </c>
      <c r="I63" s="6" t="n">
        <v>-2014.6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5" t="n">
        <v>44712.613900463</v>
      </c>
      <c r="B64" s="26" t="s">
        <v>128</v>
      </c>
      <c r="C64" s="26" t="s">
        <v>721</v>
      </c>
      <c r="D64" s="26" t="s">
        <v>588</v>
      </c>
      <c r="E64" s="26" t="s">
        <v>122</v>
      </c>
      <c r="F64" s="26" t="s">
        <v>20</v>
      </c>
      <c r="G64" s="27" t="n">
        <v>-800</v>
      </c>
      <c r="H64" s="28" t="n">
        <v>1.152</v>
      </c>
      <c r="I64" s="28" t="n">
        <v>921.6</v>
      </c>
      <c r="J64" s="28" t="n">
        <v>0</v>
      </c>
      <c r="K64" s="28" t="n">
        <v>0</v>
      </c>
      <c r="L64" s="28" t="n">
        <v>0</v>
      </c>
      <c r="M64" s="6" t="s">
        <f>=I64+J64+K64+L64</f>
      </c>
      <c r="N64" s="28"/>
      <c r="O64" s="26"/>
    </row>
    <row collapsed="false" customFormat="false" customHeight="false" hidden="false" ht="12.1" outlineLevel="0" r="65">
      <c r="A65" s="25" t="n">
        <v>44713.4203125</v>
      </c>
      <c r="B65" s="26" t="s">
        <v>128</v>
      </c>
      <c r="C65" s="26" t="s">
        <v>721</v>
      </c>
      <c r="D65" s="26" t="s">
        <v>588</v>
      </c>
      <c r="E65" s="26" t="s">
        <v>122</v>
      </c>
      <c r="F65" s="26" t="s">
        <v>20</v>
      </c>
      <c r="G65" s="27" t="n">
        <v>-100</v>
      </c>
      <c r="H65" s="28" t="n">
        <v>1.1523</v>
      </c>
      <c r="I65" s="28" t="n">
        <v>115.23</v>
      </c>
      <c r="J65" s="28" t="n">
        <v>0</v>
      </c>
      <c r="K65" s="28" t="n">
        <v>0</v>
      </c>
      <c r="L65" s="28" t="n">
        <v>0</v>
      </c>
      <c r="M65" s="6" t="s">
        <f>=I65+J65+K65+L65</f>
      </c>
      <c r="N65" s="28"/>
      <c r="O65" s="26"/>
    </row>
    <row collapsed="false" customFormat="false" customHeight="false" hidden="false" ht="12.1" outlineLevel="0" r="66">
      <c r="A66" s="20" t="n">
        <v>44714.448391204</v>
      </c>
      <c r="B66" s="16" t="s">
        <v>102</v>
      </c>
      <c r="C66" s="16" t="s">
        <v>732</v>
      </c>
      <c r="D66" s="16" t="s">
        <v>587</v>
      </c>
      <c r="E66" s="16" t="s">
        <v>18</v>
      </c>
      <c r="F66" s="16" t="s">
        <v>20</v>
      </c>
      <c r="G66" s="7" t="n">
        <v>10000</v>
      </c>
      <c r="H66" s="6" t="n">
        <v>0.09294</v>
      </c>
      <c r="I66" s="6" t="n">
        <v>-929.4</v>
      </c>
      <c r="J66" s="6" t="n">
        <v>0</v>
      </c>
      <c r="K66" s="6" t="n">
        <v>-0.55</v>
      </c>
      <c r="L66" s="6" t="n">
        <v>0</v>
      </c>
      <c r="M66" s="6" t="s">
        <f>=I66+J66+K66+L66</f>
      </c>
      <c r="N66" s="6"/>
      <c r="O66" s="16"/>
    </row>
    <row collapsed="false" customFormat="false" customHeight="false" hidden="false" ht="12.1" outlineLevel="0" r="67">
      <c r="A67" s="25" t="n">
        <v>44714.461550926</v>
      </c>
      <c r="B67" s="26" t="s">
        <v>128</v>
      </c>
      <c r="C67" s="26" t="s">
        <v>721</v>
      </c>
      <c r="D67" s="26" t="s">
        <v>588</v>
      </c>
      <c r="E67" s="26" t="s">
        <v>122</v>
      </c>
      <c r="F67" s="26" t="s">
        <v>20</v>
      </c>
      <c r="G67" s="27" t="n">
        <v>-950</v>
      </c>
      <c r="H67" s="28" t="n">
        <v>1.1533052631579</v>
      </c>
      <c r="I67" s="28" t="n">
        <v>1095.64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8"/>
      <c r="O67" s="26"/>
    </row>
    <row collapsed="false" customFormat="false" customHeight="false" hidden="false" ht="12.1" outlineLevel="0" r="68">
      <c r="A68" s="20" t="n">
        <v>44715.418506944</v>
      </c>
      <c r="B68" s="16" t="s">
        <v>100</v>
      </c>
      <c r="C68" s="16" t="s">
        <v>733</v>
      </c>
      <c r="D68" s="16" t="s">
        <v>587</v>
      </c>
      <c r="E68" s="16" t="s">
        <v>18</v>
      </c>
      <c r="F68" s="16" t="s">
        <v>20</v>
      </c>
      <c r="G68" s="7" t="n">
        <v>1</v>
      </c>
      <c r="H68" s="6" t="n">
        <v>813.8</v>
      </c>
      <c r="I68" s="6" t="n">
        <v>-813.8</v>
      </c>
      <c r="J68" s="6" t="n">
        <v>0</v>
      </c>
      <c r="K68" s="6" t="n">
        <v>-0.49</v>
      </c>
      <c r="L68" s="6" t="n">
        <v>0</v>
      </c>
      <c r="M68" s="6" t="s">
        <f>=I68+J68+K68+L68</f>
      </c>
      <c r="N68" s="6"/>
      <c r="O68" s="16"/>
    </row>
    <row collapsed="false" customFormat="false" customHeight="false" hidden="false" ht="12.1" outlineLevel="0" r="69">
      <c r="A69" s="20" t="n">
        <v>44715.690555556</v>
      </c>
      <c r="B69" s="16" t="s">
        <v>124</v>
      </c>
      <c r="C69" s="16" t="s">
        <v>719</v>
      </c>
      <c r="D69" s="16" t="s">
        <v>587</v>
      </c>
      <c r="E69" s="16" t="s">
        <v>122</v>
      </c>
      <c r="F69" s="16" t="s">
        <v>20</v>
      </c>
      <c r="G69" s="7" t="n">
        <v>1</v>
      </c>
      <c r="H69" s="6" t="n">
        <v>89</v>
      </c>
      <c r="I69" s="6" t="n">
        <v>-89</v>
      </c>
      <c r="J69" s="6" t="n">
        <v>0</v>
      </c>
      <c r="K69" s="6" t="n">
        <v>-0.02</v>
      </c>
      <c r="L69" s="6" t="n">
        <v>0</v>
      </c>
      <c r="M69" s="6" t="s">
        <f>=I69+J69+K69+L69</f>
      </c>
      <c r="N69" s="6"/>
      <c r="O69" s="16"/>
    </row>
    <row collapsed="false" customFormat="false" customHeight="false" hidden="false" ht="12.1" outlineLevel="0" r="70">
      <c r="A70" s="21" t="n">
        <v>44721</v>
      </c>
      <c r="B70" s="22" t="s">
        <v>710</v>
      </c>
      <c r="C70" s="22" t="s">
        <v>255</v>
      </c>
      <c r="D70" s="22" t="s">
        <v>710</v>
      </c>
      <c r="E70" s="22" t="s">
        <v>710</v>
      </c>
      <c r="F70" s="22" t="s">
        <v>20</v>
      </c>
      <c r="G70" s="23" t="n">
        <v>1</v>
      </c>
      <c r="H70" s="24" t="n">
        <v>41</v>
      </c>
      <c r="I70" s="24" t="n">
        <v>41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4"/>
      <c r="O70" s="22"/>
    </row>
    <row collapsed="false" customFormat="false" customHeight="false" hidden="false" ht="12.1" outlineLevel="0" r="71">
      <c r="A71" s="20" t="n">
        <v>44722.605104167</v>
      </c>
      <c r="B71" s="16" t="s">
        <v>130</v>
      </c>
      <c r="C71" s="16" t="s">
        <v>722</v>
      </c>
      <c r="D71" s="16" t="s">
        <v>587</v>
      </c>
      <c r="E71" s="16" t="s">
        <v>122</v>
      </c>
      <c r="F71" s="16" t="s">
        <v>20</v>
      </c>
      <c r="G71" s="7" t="n">
        <v>200</v>
      </c>
      <c r="H71" s="6" t="n">
        <v>0.9185</v>
      </c>
      <c r="I71" s="6" t="n">
        <v>-183.7</v>
      </c>
      <c r="J71" s="6" t="n">
        <v>0</v>
      </c>
      <c r="K71" s="6" t="n">
        <v>-0.02</v>
      </c>
      <c r="L71" s="6" t="n">
        <v>0</v>
      </c>
      <c r="M71" s="6" t="s">
        <f>=I71+J71+K71+L71</f>
      </c>
      <c r="N71" s="6"/>
      <c r="O71" s="16"/>
    </row>
    <row collapsed="false" customFormat="false" customHeight="false" hidden="false" ht="12.1" outlineLevel="0" r="72">
      <c r="A72" s="25" t="n">
        <v>44726.518321759</v>
      </c>
      <c r="B72" s="26" t="s">
        <v>82</v>
      </c>
      <c r="C72" s="26" t="s">
        <v>731</v>
      </c>
      <c r="D72" s="26" t="s">
        <v>588</v>
      </c>
      <c r="E72" s="26" t="s">
        <v>18</v>
      </c>
      <c r="F72" s="26" t="s">
        <v>20</v>
      </c>
      <c r="G72" s="27" t="n">
        <v>-1000</v>
      </c>
      <c r="H72" s="28" t="n">
        <v>1.518</v>
      </c>
      <c r="I72" s="28" t="n">
        <v>1518</v>
      </c>
      <c r="J72" s="28" t="n">
        <v>0</v>
      </c>
      <c r="K72" s="28" t="n">
        <v>-0.91</v>
      </c>
      <c r="L72" s="28" t="n">
        <v>0</v>
      </c>
      <c r="M72" s="6" t="s">
        <f>=I72+J72+K72+L72</f>
      </c>
      <c r="N72" s="28"/>
      <c r="O72" s="26"/>
    </row>
    <row collapsed="false" customFormat="false" customHeight="false" hidden="false" ht="12.1" outlineLevel="0" r="73">
      <c r="A73" s="20" t="n">
        <v>44726.520011574</v>
      </c>
      <c r="B73" s="16" t="s">
        <v>128</v>
      </c>
      <c r="C73" s="16" t="s">
        <v>721</v>
      </c>
      <c r="D73" s="16" t="s">
        <v>587</v>
      </c>
      <c r="E73" s="16" t="s">
        <v>122</v>
      </c>
      <c r="F73" s="16" t="s">
        <v>20</v>
      </c>
      <c r="G73" s="7" t="n">
        <v>1320</v>
      </c>
      <c r="H73" s="6" t="n">
        <v>1.1565</v>
      </c>
      <c r="I73" s="6" t="n">
        <v>-1526.58</v>
      </c>
      <c r="J73" s="6" t="n">
        <v>0</v>
      </c>
      <c r="K73" s="6" t="n">
        <v>0</v>
      </c>
      <c r="L73" s="6" t="n">
        <v>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0" t="n">
        <v>44726.591053241</v>
      </c>
      <c r="B74" s="16" t="s">
        <v>130</v>
      </c>
      <c r="C74" s="16" t="s">
        <v>722</v>
      </c>
      <c r="D74" s="16" t="s">
        <v>587</v>
      </c>
      <c r="E74" s="16" t="s">
        <v>122</v>
      </c>
      <c r="F74" s="16" t="s">
        <v>20</v>
      </c>
      <c r="G74" s="7" t="n">
        <v>220</v>
      </c>
      <c r="H74" s="6" t="n">
        <v>0.89951818181818</v>
      </c>
      <c r="I74" s="6" t="n">
        <v>-197.89</v>
      </c>
      <c r="J74" s="6" t="n">
        <v>0</v>
      </c>
      <c r="K74" s="6" t="n">
        <v>-0.04</v>
      </c>
      <c r="L74" s="6" t="n">
        <v>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5" t="n">
        <v>44727.583043981</v>
      </c>
      <c r="B75" s="26" t="s">
        <v>128</v>
      </c>
      <c r="C75" s="26" t="s">
        <v>721</v>
      </c>
      <c r="D75" s="26" t="s">
        <v>588</v>
      </c>
      <c r="E75" s="26" t="s">
        <v>122</v>
      </c>
      <c r="F75" s="26" t="s">
        <v>20</v>
      </c>
      <c r="G75" s="27" t="n">
        <v>-600</v>
      </c>
      <c r="H75" s="28" t="n">
        <v>1.1567</v>
      </c>
      <c r="I75" s="28" t="n">
        <v>694.03</v>
      </c>
      <c r="J75" s="28" t="n">
        <v>0</v>
      </c>
      <c r="K75" s="28" t="n">
        <v>0</v>
      </c>
      <c r="L75" s="28" t="n">
        <v>0</v>
      </c>
      <c r="M75" s="6" t="s">
        <f>=I75+J75+K75+L75</f>
      </c>
      <c r="N75" s="28"/>
      <c r="O75" s="26"/>
    </row>
    <row collapsed="false" customFormat="false" customHeight="false" hidden="false" ht="12.1" outlineLevel="0" r="76">
      <c r="A76" s="20" t="n">
        <v>44727.584027778</v>
      </c>
      <c r="B76" s="16" t="s">
        <v>80</v>
      </c>
      <c r="C76" s="16" t="s">
        <v>725</v>
      </c>
      <c r="D76" s="16" t="s">
        <v>587</v>
      </c>
      <c r="E76" s="16" t="s">
        <v>18</v>
      </c>
      <c r="F76" s="16" t="s">
        <v>20</v>
      </c>
      <c r="G76" s="7" t="n">
        <v>10</v>
      </c>
      <c r="H76" s="6" t="n">
        <v>66.45</v>
      </c>
      <c r="I76" s="6" t="n">
        <v>-664.5</v>
      </c>
      <c r="J76" s="6" t="n">
        <v>0</v>
      </c>
      <c r="K76" s="6" t="n">
        <v>-0.4</v>
      </c>
      <c r="L76" s="6" t="n">
        <v>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44727.603854167</v>
      </c>
      <c r="B77" s="16" t="s">
        <v>128</v>
      </c>
      <c r="C77" s="16" t="s">
        <v>721</v>
      </c>
      <c r="D77" s="16" t="s">
        <v>587</v>
      </c>
      <c r="E77" s="16" t="s">
        <v>122</v>
      </c>
      <c r="F77" s="16" t="s">
        <v>20</v>
      </c>
      <c r="G77" s="7" t="n">
        <v>20</v>
      </c>
      <c r="H77" s="6" t="n">
        <v>1.1568</v>
      </c>
      <c r="I77" s="6" t="n">
        <v>-23.14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5" t="n">
        <v>44734.491261574</v>
      </c>
      <c r="B78" s="26" t="s">
        <v>128</v>
      </c>
      <c r="C78" s="26" t="s">
        <v>721</v>
      </c>
      <c r="D78" s="26" t="s">
        <v>588</v>
      </c>
      <c r="E78" s="26" t="s">
        <v>122</v>
      </c>
      <c r="F78" s="26" t="s">
        <v>20</v>
      </c>
      <c r="G78" s="27" t="n">
        <v>-390</v>
      </c>
      <c r="H78" s="28" t="n">
        <v>1.1588</v>
      </c>
      <c r="I78" s="28" t="n">
        <v>451.93</v>
      </c>
      <c r="J78" s="28" t="n">
        <v>0</v>
      </c>
      <c r="K78" s="28" t="n">
        <v>0</v>
      </c>
      <c r="L78" s="28" t="n">
        <v>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0" t="n">
        <v>44734.491458333</v>
      </c>
      <c r="B79" s="16" t="s">
        <v>96</v>
      </c>
      <c r="C79" s="16" t="s">
        <v>734</v>
      </c>
      <c r="D79" s="16" t="s">
        <v>587</v>
      </c>
      <c r="E79" s="16" t="s">
        <v>18</v>
      </c>
      <c r="F79" s="16" t="s">
        <v>20</v>
      </c>
      <c r="G79" s="7" t="n">
        <v>10</v>
      </c>
      <c r="H79" s="6" t="n">
        <v>43.98</v>
      </c>
      <c r="I79" s="6" t="n">
        <v>-439.8</v>
      </c>
      <c r="J79" s="6" t="n">
        <v>0</v>
      </c>
      <c r="K79" s="6" t="n">
        <v>-0.27</v>
      </c>
      <c r="L79" s="6" t="n">
        <v>0</v>
      </c>
      <c r="M79" s="6" t="s">
        <f>=I79+J79+K79+L79</f>
      </c>
      <c r="N79" s="6"/>
      <c r="O79" s="16"/>
    </row>
    <row collapsed="false" customFormat="false" customHeight="false" hidden="false" ht="12.1" outlineLevel="0" r="80">
      <c r="A80" s="21" t="n">
        <v>44739</v>
      </c>
      <c r="B80" s="22" t="s">
        <v>710</v>
      </c>
      <c r="C80" s="22" t="s">
        <v>255</v>
      </c>
      <c r="D80" s="22" t="s">
        <v>710</v>
      </c>
      <c r="E80" s="22" t="s">
        <v>710</v>
      </c>
      <c r="F80" s="22" t="s">
        <v>20</v>
      </c>
      <c r="G80" s="23" t="n">
        <v>1</v>
      </c>
      <c r="H80" s="24" t="n">
        <v>143</v>
      </c>
      <c r="I80" s="24" t="n">
        <v>143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4"/>
      <c r="O80" s="22"/>
    </row>
    <row collapsed="false" customFormat="false" customHeight="false" hidden="false" ht="12.1" outlineLevel="0" r="81">
      <c r="A81" s="20" t="n">
        <v>44739.598090278</v>
      </c>
      <c r="B81" s="16" t="s">
        <v>128</v>
      </c>
      <c r="C81" s="16" t="s">
        <v>721</v>
      </c>
      <c r="D81" s="16" t="s">
        <v>587</v>
      </c>
      <c r="E81" s="16" t="s">
        <v>122</v>
      </c>
      <c r="F81" s="16" t="s">
        <v>20</v>
      </c>
      <c r="G81" s="7" t="n">
        <v>150</v>
      </c>
      <c r="H81" s="6" t="n">
        <v>1.1599866666667</v>
      </c>
      <c r="I81" s="6" t="n">
        <v>-174</v>
      </c>
      <c r="J81" s="6" t="n">
        <v>0</v>
      </c>
      <c r="K81" s="6" t="n">
        <v>0</v>
      </c>
      <c r="L81" s="6" t="n">
        <v>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1" t="n">
        <v>44740</v>
      </c>
      <c r="B82" s="22" t="s">
        <v>710</v>
      </c>
      <c r="C82" s="22" t="s">
        <v>255</v>
      </c>
      <c r="D82" s="22" t="s">
        <v>710</v>
      </c>
      <c r="E82" s="22" t="s">
        <v>710</v>
      </c>
      <c r="F82" s="22" t="s">
        <v>20</v>
      </c>
      <c r="G82" s="23" t="n">
        <v>1</v>
      </c>
      <c r="H82" s="24" t="n">
        <v>79.72</v>
      </c>
      <c r="I82" s="24" t="n">
        <v>79.72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4"/>
      <c r="O82" s="22"/>
    </row>
    <row collapsed="false" customFormat="false" customHeight="false" hidden="false" ht="12.1" outlineLevel="0" r="83">
      <c r="A83" s="25" t="n">
        <v>44740.759710648</v>
      </c>
      <c r="B83" s="26" t="s">
        <v>128</v>
      </c>
      <c r="C83" s="26" t="s">
        <v>721</v>
      </c>
      <c r="D83" s="26" t="s">
        <v>588</v>
      </c>
      <c r="E83" s="26" t="s">
        <v>122</v>
      </c>
      <c r="F83" s="26" t="s">
        <v>20</v>
      </c>
      <c r="G83" s="27" t="n">
        <v>-650</v>
      </c>
      <c r="H83" s="28" t="n">
        <v>1.1601</v>
      </c>
      <c r="I83" s="28" t="n">
        <v>754.07</v>
      </c>
      <c r="J83" s="28" t="n">
        <v>0</v>
      </c>
      <c r="K83" s="28" t="n">
        <v>0</v>
      </c>
      <c r="L83" s="28" t="n">
        <v>0</v>
      </c>
      <c r="M83" s="6" t="s">
        <f>=I83+J83+K83+L83</f>
      </c>
      <c r="N83" s="28"/>
      <c r="O83" s="26"/>
    </row>
    <row collapsed="false" customFormat="false" customHeight="false" hidden="false" ht="12.1" outlineLevel="0" r="84">
      <c r="A84" s="20" t="n">
        <v>44740.759988426</v>
      </c>
      <c r="B84" s="16" t="s">
        <v>596</v>
      </c>
      <c r="C84" s="16" t="s">
        <v>735</v>
      </c>
      <c r="D84" s="16" t="s">
        <v>587</v>
      </c>
      <c r="E84" s="16" t="s">
        <v>18</v>
      </c>
      <c r="F84" s="16" t="s">
        <v>20</v>
      </c>
      <c r="G84" s="7" t="n">
        <v>1</v>
      </c>
      <c r="H84" s="6" t="n">
        <v>794.6</v>
      </c>
      <c r="I84" s="6" t="n">
        <v>-794.6</v>
      </c>
      <c r="J84" s="6" t="n">
        <v>0</v>
      </c>
      <c r="K84" s="6" t="n">
        <v>-0.48</v>
      </c>
      <c r="L84" s="6" t="n">
        <v>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0" t="n">
        <v>44740.760196759</v>
      </c>
      <c r="B85" s="16" t="s">
        <v>128</v>
      </c>
      <c r="C85" s="16" t="s">
        <v>721</v>
      </c>
      <c r="D85" s="16" t="s">
        <v>587</v>
      </c>
      <c r="E85" s="16" t="s">
        <v>122</v>
      </c>
      <c r="F85" s="16" t="s">
        <v>20</v>
      </c>
      <c r="G85" s="7" t="n">
        <v>35</v>
      </c>
      <c r="H85" s="6" t="n">
        <v>1.1602</v>
      </c>
      <c r="I85" s="6" t="n">
        <v>-40.61</v>
      </c>
      <c r="J85" s="6" t="n">
        <v>0</v>
      </c>
      <c r="K85" s="6" t="n">
        <v>0</v>
      </c>
      <c r="L85" s="6" t="n">
        <v>0</v>
      </c>
      <c r="M85" s="6" t="s">
        <f>=I85+J85+K85+L85</f>
      </c>
      <c r="N85" s="6"/>
      <c r="O85" s="16"/>
    </row>
    <row collapsed="false" customFormat="false" customHeight="false" hidden="false" ht="12.1" outlineLevel="0" r="86">
      <c r="A86" s="25" t="n">
        <v>44742.513483796</v>
      </c>
      <c r="B86" s="26" t="s">
        <v>128</v>
      </c>
      <c r="C86" s="26" t="s">
        <v>721</v>
      </c>
      <c r="D86" s="26" t="s">
        <v>588</v>
      </c>
      <c r="E86" s="26" t="s">
        <v>122</v>
      </c>
      <c r="F86" s="26" t="s">
        <v>20</v>
      </c>
      <c r="G86" s="27" t="n">
        <v>-85</v>
      </c>
      <c r="H86" s="28" t="n">
        <v>1.1613</v>
      </c>
      <c r="I86" s="28" t="n">
        <v>98.71</v>
      </c>
      <c r="J86" s="28" t="n">
        <v>0</v>
      </c>
      <c r="K86" s="28" t="n">
        <v>0</v>
      </c>
      <c r="L86" s="28" t="n">
        <v>0</v>
      </c>
      <c r="M86" s="6" t="s">
        <f>=I86+J86+K86+L86</f>
      </c>
      <c r="N86" s="28"/>
      <c r="O86" s="26"/>
    </row>
    <row collapsed="false" customFormat="false" customHeight="false" hidden="false" ht="12.1" outlineLevel="0" r="87">
      <c r="A87" s="20" t="n">
        <v>44742.513946759</v>
      </c>
      <c r="B87" s="16" t="s">
        <v>124</v>
      </c>
      <c r="C87" s="16" t="s">
        <v>719</v>
      </c>
      <c r="D87" s="16" t="s">
        <v>587</v>
      </c>
      <c r="E87" s="16" t="s">
        <v>122</v>
      </c>
      <c r="F87" s="16" t="s">
        <v>20</v>
      </c>
      <c r="G87" s="7" t="n">
        <v>1</v>
      </c>
      <c r="H87" s="6" t="n">
        <v>87.8</v>
      </c>
      <c r="I87" s="6" t="n">
        <v>-87.8</v>
      </c>
      <c r="J87" s="6" t="n">
        <v>0</v>
      </c>
      <c r="K87" s="6" t="n">
        <v>-0.02</v>
      </c>
      <c r="L87" s="6" t="n">
        <v>0</v>
      </c>
      <c r="M87" s="6" t="s">
        <f>=I87+J87+K87+L87</f>
      </c>
      <c r="N87" s="6"/>
      <c r="O87" s="16"/>
    </row>
    <row collapsed="false" customFormat="false" customHeight="false" hidden="false" ht="12.1" outlineLevel="0" r="88">
      <c r="A88" s="21" t="n">
        <v>44743</v>
      </c>
      <c r="B88" s="22" t="s">
        <v>710</v>
      </c>
      <c r="C88" s="22" t="s">
        <v>255</v>
      </c>
      <c r="D88" s="22" t="s">
        <v>710</v>
      </c>
      <c r="E88" s="22" t="s">
        <v>710</v>
      </c>
      <c r="F88" s="22" t="s">
        <v>20</v>
      </c>
      <c r="G88" s="23" t="n">
        <v>1</v>
      </c>
      <c r="H88" s="24" t="n">
        <v>99.24</v>
      </c>
      <c r="I88" s="24" t="n">
        <v>99.24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4"/>
      <c r="O88" s="22"/>
    </row>
    <row collapsed="false" customFormat="false" customHeight="false" hidden="false" ht="12.1" outlineLevel="0" r="89">
      <c r="A89" s="21" t="n">
        <v>44746</v>
      </c>
      <c r="B89" s="22" t="s">
        <v>710</v>
      </c>
      <c r="C89" s="22" t="s">
        <v>255</v>
      </c>
      <c r="D89" s="22" t="s">
        <v>710</v>
      </c>
      <c r="E89" s="22" t="s">
        <v>710</v>
      </c>
      <c r="F89" s="22" t="s">
        <v>20</v>
      </c>
      <c r="G89" s="23" t="n">
        <v>1</v>
      </c>
      <c r="H89" s="24" t="n">
        <v>1200</v>
      </c>
      <c r="I89" s="24" t="n">
        <v>1200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4"/>
      <c r="O89" s="22"/>
    </row>
    <row collapsed="false" customFormat="false" customHeight="false" hidden="false" ht="12.1" outlineLevel="0" r="90">
      <c r="A90" s="20" t="n">
        <v>44746.472962963</v>
      </c>
      <c r="B90" s="16" t="s">
        <v>116</v>
      </c>
      <c r="C90" s="16" t="s">
        <v>736</v>
      </c>
      <c r="D90" s="16" t="s">
        <v>587</v>
      </c>
      <c r="E90" s="16" t="s">
        <v>18</v>
      </c>
      <c r="F90" s="16" t="s">
        <v>20</v>
      </c>
      <c r="G90" s="7" t="n">
        <v>10</v>
      </c>
      <c r="H90" s="6" t="n">
        <v>32</v>
      </c>
      <c r="I90" s="6" t="n">
        <v>-320</v>
      </c>
      <c r="J90" s="6" t="n">
        <v>0</v>
      </c>
      <c r="K90" s="6" t="n">
        <v>-0.19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44746.781261574</v>
      </c>
      <c r="B91" s="16" t="s">
        <v>80</v>
      </c>
      <c r="C91" s="16" t="s">
        <v>725</v>
      </c>
      <c r="D91" s="16" t="s">
        <v>587</v>
      </c>
      <c r="E91" s="16" t="s">
        <v>18</v>
      </c>
      <c r="F91" s="16" t="s">
        <v>20</v>
      </c>
      <c r="G91" s="7" t="n">
        <v>10</v>
      </c>
      <c r="H91" s="6" t="n">
        <v>64.55</v>
      </c>
      <c r="I91" s="6" t="n">
        <v>-645.5</v>
      </c>
      <c r="J91" s="6" t="n">
        <v>0</v>
      </c>
      <c r="K91" s="6" t="n">
        <v>-0.39</v>
      </c>
      <c r="L91" s="6" t="n">
        <v>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1" t="n">
        <v>44748</v>
      </c>
      <c r="B92" s="22" t="s">
        <v>710</v>
      </c>
      <c r="C92" s="22" t="s">
        <v>255</v>
      </c>
      <c r="D92" s="22" t="s">
        <v>710</v>
      </c>
      <c r="E92" s="22" t="s">
        <v>710</v>
      </c>
      <c r="F92" s="22" t="s">
        <v>20</v>
      </c>
      <c r="G92" s="23" t="n">
        <v>1</v>
      </c>
      <c r="H92" s="24" t="n">
        <v>56.88</v>
      </c>
      <c r="I92" s="24" t="n">
        <v>56.88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4"/>
      <c r="O92" s="22"/>
    </row>
    <row collapsed="false" customFormat="false" customHeight="false" hidden="false" ht="12.1" outlineLevel="0" r="93">
      <c r="A93" s="20" t="n">
        <v>44749.447314815</v>
      </c>
      <c r="B93" s="16" t="s">
        <v>128</v>
      </c>
      <c r="C93" s="16" t="s">
        <v>721</v>
      </c>
      <c r="D93" s="16" t="s">
        <v>587</v>
      </c>
      <c r="E93" s="16" t="s">
        <v>122</v>
      </c>
      <c r="F93" s="16" t="s">
        <v>20</v>
      </c>
      <c r="G93" s="7" t="n">
        <v>350</v>
      </c>
      <c r="H93" s="6" t="n">
        <v>1.1635</v>
      </c>
      <c r="I93" s="6" t="n">
        <v>-407.23</v>
      </c>
      <c r="J93" s="6" t="n">
        <v>0</v>
      </c>
      <c r="K93" s="6" t="n">
        <v>0</v>
      </c>
      <c r="L93" s="6" t="n">
        <v>0</v>
      </c>
      <c r="M93" s="6" t="s">
        <f>=I93+J93+K93+L93</f>
      </c>
      <c r="N93" s="6"/>
      <c r="O93" s="16"/>
    </row>
    <row collapsed="false" customFormat="false" customHeight="false" hidden="false" ht="12.1" outlineLevel="0" r="94">
      <c r="A94" s="21" t="n">
        <v>44756</v>
      </c>
      <c r="B94" s="22" t="s">
        <v>710</v>
      </c>
      <c r="C94" s="22" t="s">
        <v>255</v>
      </c>
      <c r="D94" s="22" t="s">
        <v>710</v>
      </c>
      <c r="E94" s="22" t="s">
        <v>710</v>
      </c>
      <c r="F94" s="22" t="s">
        <v>20</v>
      </c>
      <c r="G94" s="23" t="n">
        <v>1</v>
      </c>
      <c r="H94" s="24" t="n">
        <v>680</v>
      </c>
      <c r="I94" s="24" t="n">
        <v>680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4"/>
      <c r="O94" s="22"/>
    </row>
    <row collapsed="false" customFormat="false" customHeight="false" hidden="false" ht="12.1" outlineLevel="0" r="95">
      <c r="A95" s="20" t="n">
        <v>44756.732534722</v>
      </c>
      <c r="B95" s="16" t="s">
        <v>128</v>
      </c>
      <c r="C95" s="16" t="s">
        <v>721</v>
      </c>
      <c r="D95" s="16" t="s">
        <v>587</v>
      </c>
      <c r="E95" s="16" t="s">
        <v>122</v>
      </c>
      <c r="F95" s="16" t="s">
        <v>20</v>
      </c>
      <c r="G95" s="7" t="n">
        <v>580</v>
      </c>
      <c r="H95" s="6" t="n">
        <v>1.1654</v>
      </c>
      <c r="I95" s="6" t="n">
        <v>-675.93</v>
      </c>
      <c r="J95" s="6" t="n">
        <v>0</v>
      </c>
      <c r="K95" s="6" t="n">
        <v>0</v>
      </c>
      <c r="L95" s="6" t="n">
        <v>0</v>
      </c>
      <c r="M95" s="6" t="s">
        <f>=I95+J95+K95+L95</f>
      </c>
      <c r="N95" s="6"/>
      <c r="O95" s="16"/>
    </row>
    <row collapsed="false" customFormat="false" customHeight="false" hidden="false" ht="12.1" outlineLevel="0" r="96">
      <c r="A96" s="21" t="n">
        <v>44757</v>
      </c>
      <c r="B96" s="22" t="s">
        <v>710</v>
      </c>
      <c r="C96" s="22" t="s">
        <v>255</v>
      </c>
      <c r="D96" s="22" t="s">
        <v>710</v>
      </c>
      <c r="E96" s="22" t="s">
        <v>710</v>
      </c>
      <c r="F96" s="22" t="s">
        <v>20</v>
      </c>
      <c r="G96" s="23" t="n">
        <v>1</v>
      </c>
      <c r="H96" s="24" t="n">
        <v>1000</v>
      </c>
      <c r="I96" s="24" t="n">
        <v>1000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4"/>
      <c r="O96" s="22"/>
    </row>
    <row collapsed="false" customFormat="false" customHeight="false" hidden="false" ht="12.1" outlineLevel="0" r="97">
      <c r="A97" s="20" t="n">
        <v>44757.579212963</v>
      </c>
      <c r="B97" s="16" t="s">
        <v>128</v>
      </c>
      <c r="C97" s="16" t="s">
        <v>721</v>
      </c>
      <c r="D97" s="16" t="s">
        <v>587</v>
      </c>
      <c r="E97" s="16" t="s">
        <v>122</v>
      </c>
      <c r="F97" s="16" t="s">
        <v>20</v>
      </c>
      <c r="G97" s="7" t="n">
        <v>850</v>
      </c>
      <c r="H97" s="6" t="n">
        <v>1.1655</v>
      </c>
      <c r="I97" s="6" t="n">
        <v>-990.68</v>
      </c>
      <c r="J97" s="6" t="n">
        <v>0</v>
      </c>
      <c r="K97" s="6" t="n">
        <v>0</v>
      </c>
      <c r="L97" s="6" t="n">
        <v>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5" t="n">
        <v>44761.422847222</v>
      </c>
      <c r="B98" s="26" t="s">
        <v>102</v>
      </c>
      <c r="C98" s="26" t="s">
        <v>732</v>
      </c>
      <c r="D98" s="26" t="s">
        <v>588</v>
      </c>
      <c r="E98" s="26" t="s">
        <v>18</v>
      </c>
      <c r="F98" s="26" t="s">
        <v>20</v>
      </c>
      <c r="G98" s="27" t="n">
        <v>-10000</v>
      </c>
      <c r="H98" s="28" t="n">
        <v>0.1029</v>
      </c>
      <c r="I98" s="28" t="n">
        <v>1029</v>
      </c>
      <c r="J98" s="28" t="n">
        <v>0</v>
      </c>
      <c r="K98" s="28" t="n">
        <v>-0.61</v>
      </c>
      <c r="L98" s="28" t="n">
        <v>0</v>
      </c>
      <c r="M98" s="6" t="s">
        <f>=I98+J98+K98+L98</f>
      </c>
      <c r="N98" s="28"/>
      <c r="O98" s="26"/>
    </row>
    <row collapsed="false" customFormat="false" customHeight="false" hidden="false" ht="12.1" outlineLevel="0" r="99">
      <c r="A99" s="25" t="n">
        <v>44761.423576389</v>
      </c>
      <c r="B99" s="26" t="s">
        <v>128</v>
      </c>
      <c r="C99" s="26" t="s">
        <v>721</v>
      </c>
      <c r="D99" s="26" t="s">
        <v>588</v>
      </c>
      <c r="E99" s="26" t="s">
        <v>122</v>
      </c>
      <c r="F99" s="26" t="s">
        <v>20</v>
      </c>
      <c r="G99" s="27" t="n">
        <v>-645</v>
      </c>
      <c r="H99" s="28" t="n">
        <v>1.1659573643411</v>
      </c>
      <c r="I99" s="28" t="n">
        <v>752.04</v>
      </c>
      <c r="J99" s="28" t="n">
        <v>0</v>
      </c>
      <c r="K99" s="28" t="n">
        <v>0</v>
      </c>
      <c r="L99" s="28" t="n">
        <v>0</v>
      </c>
      <c r="M99" s="6" t="s">
        <f>=I99+J99+K99+L99</f>
      </c>
      <c r="N99" s="28"/>
      <c r="O99" s="26"/>
    </row>
    <row collapsed="false" customFormat="false" customHeight="false" hidden="false" ht="12.1" outlineLevel="0" r="100">
      <c r="A100" s="20" t="n">
        <v>44761.423865741</v>
      </c>
      <c r="B100" s="16" t="s">
        <v>82</v>
      </c>
      <c r="C100" s="16" t="s">
        <v>731</v>
      </c>
      <c r="D100" s="16" t="s">
        <v>587</v>
      </c>
      <c r="E100" s="16" t="s">
        <v>18</v>
      </c>
      <c r="F100" s="16" t="s">
        <v>20</v>
      </c>
      <c r="G100" s="7" t="n">
        <v>1000</v>
      </c>
      <c r="H100" s="6" t="n">
        <v>1.428</v>
      </c>
      <c r="I100" s="6" t="n">
        <v>-1428</v>
      </c>
      <c r="J100" s="6" t="n">
        <v>0</v>
      </c>
      <c r="K100" s="6" t="n">
        <v>-0.85</v>
      </c>
      <c r="L100" s="6" t="n">
        <v>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0" t="n">
        <v>44761.593923611</v>
      </c>
      <c r="B101" s="16" t="s">
        <v>597</v>
      </c>
      <c r="C101" s="16" t="s">
        <v>737</v>
      </c>
      <c r="D101" s="16" t="s">
        <v>587</v>
      </c>
      <c r="E101" s="16" t="s">
        <v>18</v>
      </c>
      <c r="F101" s="16" t="s">
        <v>20</v>
      </c>
      <c r="G101" s="7" t="n">
        <v>10</v>
      </c>
      <c r="H101" s="6" t="n">
        <v>35.18</v>
      </c>
      <c r="I101" s="6" t="n">
        <v>-351.8</v>
      </c>
      <c r="J101" s="6" t="n">
        <v>0</v>
      </c>
      <c r="K101" s="6" t="n">
        <v>-0.21</v>
      </c>
      <c r="L101" s="6" t="n">
        <v>0</v>
      </c>
      <c r="M101" s="6" t="s">
        <f>=I101+J101+K101+L101</f>
      </c>
      <c r="N101" s="6"/>
      <c r="O101" s="16"/>
    </row>
    <row collapsed="false" customFormat="false" customHeight="false" hidden="false" ht="12.1" outlineLevel="0" r="102">
      <c r="A102" s="25" t="n">
        <v>44763.470856481</v>
      </c>
      <c r="B102" s="26" t="s">
        <v>128</v>
      </c>
      <c r="C102" s="26" t="s">
        <v>721</v>
      </c>
      <c r="D102" s="26" t="s">
        <v>588</v>
      </c>
      <c r="E102" s="26" t="s">
        <v>122</v>
      </c>
      <c r="F102" s="26" t="s">
        <v>20</v>
      </c>
      <c r="G102" s="27" t="n">
        <v>-540</v>
      </c>
      <c r="H102" s="28" t="n">
        <v>1.1671</v>
      </c>
      <c r="I102" s="28" t="n">
        <v>630.23</v>
      </c>
      <c r="J102" s="28" t="n">
        <v>0</v>
      </c>
      <c r="K102" s="28" t="n">
        <v>0</v>
      </c>
      <c r="L102" s="28" t="n">
        <v>0</v>
      </c>
      <c r="M102" s="6" t="s">
        <f>=I102+J102+K102+L102</f>
      </c>
      <c r="N102" s="28"/>
      <c r="O102" s="26"/>
    </row>
    <row collapsed="false" customFormat="false" customHeight="false" hidden="false" ht="12.1" outlineLevel="0" r="103">
      <c r="A103" s="20" t="n">
        <v>44763.471076389</v>
      </c>
      <c r="B103" s="16" t="s">
        <v>80</v>
      </c>
      <c r="C103" s="16" t="s">
        <v>725</v>
      </c>
      <c r="D103" s="16" t="s">
        <v>587</v>
      </c>
      <c r="E103" s="16" t="s">
        <v>18</v>
      </c>
      <c r="F103" s="16" t="s">
        <v>20</v>
      </c>
      <c r="G103" s="7" t="n">
        <v>10</v>
      </c>
      <c r="H103" s="6" t="n">
        <v>59.88</v>
      </c>
      <c r="I103" s="6" t="n">
        <v>-598.8</v>
      </c>
      <c r="J103" s="6" t="n">
        <v>0</v>
      </c>
      <c r="K103" s="6" t="n">
        <v>-0.36</v>
      </c>
      <c r="L103" s="6" t="n">
        <v>0</v>
      </c>
      <c r="M103" s="6" t="s">
        <f>=I103+J103+K103+L103</f>
      </c>
      <c r="N103" s="6"/>
      <c r="O103" s="16"/>
    </row>
    <row collapsed="false" customFormat="false" customHeight="false" hidden="false" ht="12.1" outlineLevel="0" r="104">
      <c r="A104" s="20" t="n">
        <v>44763.47125</v>
      </c>
      <c r="B104" s="16" t="s">
        <v>128</v>
      </c>
      <c r="C104" s="16" t="s">
        <v>721</v>
      </c>
      <c r="D104" s="16" t="s">
        <v>587</v>
      </c>
      <c r="E104" s="16" t="s">
        <v>122</v>
      </c>
      <c r="F104" s="16" t="s">
        <v>20</v>
      </c>
      <c r="G104" s="7" t="n">
        <v>30</v>
      </c>
      <c r="H104" s="6" t="n">
        <v>1.1672</v>
      </c>
      <c r="I104" s="6" t="n">
        <v>-35.02</v>
      </c>
      <c r="J104" s="6" t="n">
        <v>0</v>
      </c>
      <c r="K104" s="6" t="n">
        <v>0</v>
      </c>
      <c r="L104" s="6" t="n">
        <v>0</v>
      </c>
      <c r="M104" s="6" t="s">
        <f>=I104+J104+K104+L104</f>
      </c>
      <c r="N104" s="6"/>
      <c r="O104" s="16"/>
    </row>
    <row collapsed="false" customFormat="false" customHeight="false" hidden="false" ht="12.1" outlineLevel="0" r="105">
      <c r="A105" s="25" t="n">
        <v>44767.436643519</v>
      </c>
      <c r="B105" s="26" t="s">
        <v>128</v>
      </c>
      <c r="C105" s="26" t="s">
        <v>721</v>
      </c>
      <c r="D105" s="26" t="s">
        <v>588</v>
      </c>
      <c r="E105" s="26" t="s">
        <v>122</v>
      </c>
      <c r="F105" s="26" t="s">
        <v>20</v>
      </c>
      <c r="G105" s="27" t="n">
        <v>-180</v>
      </c>
      <c r="H105" s="28" t="n">
        <v>1.1676</v>
      </c>
      <c r="I105" s="28" t="n">
        <v>210.17</v>
      </c>
      <c r="J105" s="28" t="n">
        <v>0</v>
      </c>
      <c r="K105" s="28" t="n">
        <v>0</v>
      </c>
      <c r="L105" s="28" t="n">
        <v>0</v>
      </c>
      <c r="M105" s="6" t="s">
        <f>=I105+J105+K105+L105</f>
      </c>
      <c r="N105" s="28"/>
      <c r="O105" s="26"/>
    </row>
    <row collapsed="false" customFormat="false" customHeight="false" hidden="false" ht="12.1" outlineLevel="0" r="106">
      <c r="A106" s="20" t="n">
        <v>44767.43693287</v>
      </c>
      <c r="B106" s="16" t="s">
        <v>598</v>
      </c>
      <c r="C106" s="16" t="s">
        <v>738</v>
      </c>
      <c r="D106" s="16" t="s">
        <v>587</v>
      </c>
      <c r="E106" s="16" t="s">
        <v>18</v>
      </c>
      <c r="F106" s="16" t="s">
        <v>20</v>
      </c>
      <c r="G106" s="7" t="n">
        <v>2</v>
      </c>
      <c r="H106" s="6" t="n">
        <v>97.6</v>
      </c>
      <c r="I106" s="6" t="n">
        <v>-195.2</v>
      </c>
      <c r="J106" s="6" t="n">
        <v>0</v>
      </c>
      <c r="K106" s="6" t="n">
        <v>-0.12</v>
      </c>
      <c r="L106" s="6" t="n">
        <v>0</v>
      </c>
      <c r="M106" s="6" t="s">
        <f>=I106+J106+K106+L106</f>
      </c>
      <c r="N106" s="6"/>
      <c r="O106" s="16"/>
    </row>
    <row collapsed="false" customFormat="false" customHeight="false" hidden="false" ht="12.1" outlineLevel="0" r="107">
      <c r="A107" s="25" t="n">
        <v>44767.744467593</v>
      </c>
      <c r="B107" s="26" t="s">
        <v>598</v>
      </c>
      <c r="C107" s="26" t="s">
        <v>738</v>
      </c>
      <c r="D107" s="26" t="s">
        <v>588</v>
      </c>
      <c r="E107" s="26" t="s">
        <v>18</v>
      </c>
      <c r="F107" s="26" t="s">
        <v>20</v>
      </c>
      <c r="G107" s="27" t="n">
        <v>-2</v>
      </c>
      <c r="H107" s="28" t="n">
        <v>99.8</v>
      </c>
      <c r="I107" s="28" t="n">
        <v>199.6</v>
      </c>
      <c r="J107" s="28" t="n">
        <v>0</v>
      </c>
      <c r="K107" s="28" t="n">
        <v>-0.12</v>
      </c>
      <c r="L107" s="28" t="n">
        <v>0</v>
      </c>
      <c r="M107" s="6" t="s">
        <f>=I107+J107+K107+L107</f>
      </c>
      <c r="N107" s="28"/>
      <c r="O107" s="26"/>
    </row>
    <row collapsed="false" customFormat="false" customHeight="false" hidden="false" ht="12.1" outlineLevel="0" r="108">
      <c r="A108" s="20" t="n">
        <v>44767.744722222</v>
      </c>
      <c r="B108" s="16" t="s">
        <v>128</v>
      </c>
      <c r="C108" s="16" t="s">
        <v>721</v>
      </c>
      <c r="D108" s="16" t="s">
        <v>587</v>
      </c>
      <c r="E108" s="16" t="s">
        <v>122</v>
      </c>
      <c r="F108" s="16" t="s">
        <v>20</v>
      </c>
      <c r="G108" s="7" t="n">
        <v>190</v>
      </c>
      <c r="H108" s="6" t="n">
        <v>1.1677</v>
      </c>
      <c r="I108" s="6" t="n">
        <v>-221.87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0" t="n">
        <v>44768.685439815</v>
      </c>
      <c r="B109" s="16" t="s">
        <v>128</v>
      </c>
      <c r="C109" s="16" t="s">
        <v>721</v>
      </c>
      <c r="D109" s="16" t="s">
        <v>587</v>
      </c>
      <c r="E109" s="16" t="s">
        <v>122</v>
      </c>
      <c r="F109" s="16" t="s">
        <v>20</v>
      </c>
      <c r="G109" s="7" t="n">
        <v>18</v>
      </c>
      <c r="H109" s="6" t="n">
        <v>1.1679</v>
      </c>
      <c r="I109" s="6" t="n">
        <v>-21.02</v>
      </c>
      <c r="J109" s="6" t="n">
        <v>0</v>
      </c>
      <c r="K109" s="6" t="n">
        <v>0</v>
      </c>
      <c r="L109" s="6" t="n">
        <v>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5" t="n">
        <v>44771.665601852</v>
      </c>
      <c r="B110" s="26" t="s">
        <v>128</v>
      </c>
      <c r="C110" s="26" t="s">
        <v>721</v>
      </c>
      <c r="D110" s="26" t="s">
        <v>588</v>
      </c>
      <c r="E110" s="26" t="s">
        <v>122</v>
      </c>
      <c r="F110" s="26" t="s">
        <v>20</v>
      </c>
      <c r="G110" s="27" t="n">
        <v>-320</v>
      </c>
      <c r="H110" s="28" t="n">
        <v>1.169</v>
      </c>
      <c r="I110" s="28" t="n">
        <v>374.08</v>
      </c>
      <c r="J110" s="28" t="n">
        <v>0</v>
      </c>
      <c r="K110" s="28" t="n">
        <v>0</v>
      </c>
      <c r="L110" s="28" t="n">
        <v>0</v>
      </c>
      <c r="M110" s="6" t="s">
        <f>=I110+J110+K110+L110</f>
      </c>
      <c r="N110" s="28"/>
      <c r="O110" s="26"/>
    </row>
    <row collapsed="false" customFormat="false" customHeight="false" hidden="false" ht="12.1" outlineLevel="0" r="111">
      <c r="A111" s="20" t="n">
        <v>44771.665798611</v>
      </c>
      <c r="B111" s="16" t="s">
        <v>17</v>
      </c>
      <c r="C111" s="16" t="s">
        <v>711</v>
      </c>
      <c r="D111" s="16" t="s">
        <v>587</v>
      </c>
      <c r="E111" s="16" t="s">
        <v>18</v>
      </c>
      <c r="F111" s="16" t="s">
        <v>20</v>
      </c>
      <c r="G111" s="7" t="n">
        <v>1</v>
      </c>
      <c r="H111" s="6" t="n">
        <v>349.5</v>
      </c>
      <c r="I111" s="6" t="n">
        <v>-349.5</v>
      </c>
      <c r="J111" s="6" t="n">
        <v>0</v>
      </c>
      <c r="K111" s="6" t="n">
        <v>-0.2</v>
      </c>
      <c r="L111" s="6" t="n">
        <v>0</v>
      </c>
      <c r="M111" s="6" t="s">
        <f>=I111+J111+K111+L111</f>
      </c>
      <c r="N111" s="6"/>
      <c r="O111" s="16"/>
    </row>
    <row collapsed="false" customFormat="false" customHeight="false" hidden="false" ht="12.1" outlineLevel="0" r="112">
      <c r="A112" s="20" t="n">
        <v>44771.665972222</v>
      </c>
      <c r="B112" s="16" t="s">
        <v>128</v>
      </c>
      <c r="C112" s="16" t="s">
        <v>721</v>
      </c>
      <c r="D112" s="16" t="s">
        <v>587</v>
      </c>
      <c r="E112" s="16" t="s">
        <v>122</v>
      </c>
      <c r="F112" s="16" t="s">
        <v>20</v>
      </c>
      <c r="G112" s="7" t="n">
        <v>20</v>
      </c>
      <c r="H112" s="6" t="n">
        <v>1.1691</v>
      </c>
      <c r="I112" s="6" t="n">
        <v>-23.38</v>
      </c>
      <c r="J112" s="6" t="n">
        <v>0</v>
      </c>
      <c r="K112" s="6" t="n">
        <v>0</v>
      </c>
      <c r="L112" s="6" t="n">
        <v>0</v>
      </c>
      <c r="M112" s="6" t="s">
        <f>=I112+J112+K112+L112</f>
      </c>
      <c r="N112" s="6"/>
      <c r="O112" s="16"/>
    </row>
    <row collapsed="false" customFormat="false" customHeight="false" hidden="false" ht="12.1" outlineLevel="0" r="113">
      <c r="A113" s="25" t="n">
        <v>44774.613668981</v>
      </c>
      <c r="B113" s="26" t="s">
        <v>128</v>
      </c>
      <c r="C113" s="26" t="s">
        <v>721</v>
      </c>
      <c r="D113" s="26" t="s">
        <v>588</v>
      </c>
      <c r="E113" s="26" t="s">
        <v>122</v>
      </c>
      <c r="F113" s="26" t="s">
        <v>20</v>
      </c>
      <c r="G113" s="27" t="n">
        <v>-280</v>
      </c>
      <c r="H113" s="28" t="n">
        <v>1.1695</v>
      </c>
      <c r="I113" s="28" t="n">
        <v>327.46</v>
      </c>
      <c r="J113" s="28" t="n">
        <v>0</v>
      </c>
      <c r="K113" s="28" t="n">
        <v>0</v>
      </c>
      <c r="L113" s="28" t="n">
        <v>0</v>
      </c>
      <c r="M113" s="6" t="s">
        <f>=I113+J113+K113+L113</f>
      </c>
      <c r="N113" s="28"/>
      <c r="O113" s="26"/>
    </row>
    <row collapsed="false" customFormat="false" customHeight="false" hidden="false" ht="12.1" outlineLevel="0" r="114">
      <c r="A114" s="25" t="n">
        <v>44776.778981481</v>
      </c>
      <c r="B114" s="26" t="s">
        <v>128</v>
      </c>
      <c r="C114" s="26" t="s">
        <v>721</v>
      </c>
      <c r="D114" s="26" t="s">
        <v>588</v>
      </c>
      <c r="E114" s="26" t="s">
        <v>122</v>
      </c>
      <c r="F114" s="26" t="s">
        <v>20</v>
      </c>
      <c r="G114" s="27" t="n">
        <v>-60</v>
      </c>
      <c r="H114" s="28" t="n">
        <v>1.17</v>
      </c>
      <c r="I114" s="28" t="n">
        <v>70.2</v>
      </c>
      <c r="J114" s="28" t="n">
        <v>0</v>
      </c>
      <c r="K114" s="28" t="n">
        <v>0</v>
      </c>
      <c r="L114" s="28" t="n">
        <v>0</v>
      </c>
      <c r="M114" s="6" t="s">
        <f>=I114+J114+K114+L114</f>
      </c>
      <c r="N114" s="28"/>
      <c r="O114" s="26"/>
    </row>
    <row collapsed="false" customFormat="false" customHeight="false" hidden="false" ht="12.1" outlineLevel="0" r="115">
      <c r="A115" s="20" t="n">
        <v>44776.781261574</v>
      </c>
      <c r="B115" s="16" t="s">
        <v>49</v>
      </c>
      <c r="C115" s="16" t="s">
        <v>739</v>
      </c>
      <c r="D115" s="16" t="s">
        <v>587</v>
      </c>
      <c r="E115" s="16" t="s">
        <v>18</v>
      </c>
      <c r="F115" s="16" t="s">
        <v>20</v>
      </c>
      <c r="G115" s="7" t="n">
        <v>1</v>
      </c>
      <c r="H115" s="6" t="n">
        <v>383.7</v>
      </c>
      <c r="I115" s="6" t="n">
        <v>-383.7</v>
      </c>
      <c r="J115" s="6" t="n">
        <v>0</v>
      </c>
      <c r="K115" s="6" t="n">
        <v>-0.23</v>
      </c>
      <c r="L115" s="6" t="n">
        <v>0</v>
      </c>
      <c r="M115" s="6" t="s">
        <f>=I115+J115+K115+L115</f>
      </c>
      <c r="N115" s="6"/>
      <c r="O115" s="16"/>
    </row>
    <row collapsed="false" customFormat="false" customHeight="false" hidden="false" ht="12.1" outlineLevel="0" r="116">
      <c r="A116" s="20" t="n">
        <v>44777.526585648</v>
      </c>
      <c r="B116" s="16" t="s">
        <v>128</v>
      </c>
      <c r="C116" s="16" t="s">
        <v>721</v>
      </c>
      <c r="D116" s="16" t="s">
        <v>587</v>
      </c>
      <c r="E116" s="16" t="s">
        <v>122</v>
      </c>
      <c r="F116" s="16" t="s">
        <v>20</v>
      </c>
      <c r="G116" s="7" t="n">
        <v>94</v>
      </c>
      <c r="H116" s="6" t="n">
        <v>1.170770212766</v>
      </c>
      <c r="I116" s="6" t="n">
        <v>-110.05</v>
      </c>
      <c r="J116" s="6" t="n">
        <v>0</v>
      </c>
      <c r="K116" s="6" t="n">
        <v>0</v>
      </c>
      <c r="L116" s="6" t="n">
        <v>0</v>
      </c>
      <c r="M116" s="6" t="s">
        <f>=I116+J116+K116+L116</f>
      </c>
      <c r="N116" s="6"/>
      <c r="O116" s="16"/>
    </row>
    <row collapsed="false" customFormat="false" customHeight="false" hidden="false" ht="12.1" outlineLevel="0" r="117">
      <c r="A117" s="20" t="n">
        <v>44777.663391204</v>
      </c>
      <c r="B117" s="16" t="s">
        <v>90</v>
      </c>
      <c r="C117" s="16" t="s">
        <v>718</v>
      </c>
      <c r="D117" s="16" t="s">
        <v>587</v>
      </c>
      <c r="E117" s="16" t="s">
        <v>18</v>
      </c>
      <c r="F117" s="16" t="s">
        <v>20</v>
      </c>
      <c r="G117" s="7" t="n">
        <v>100</v>
      </c>
      <c r="H117" s="6" t="n">
        <v>3.1215</v>
      </c>
      <c r="I117" s="6" t="n">
        <v>-312.15</v>
      </c>
      <c r="J117" s="6" t="n">
        <v>0</v>
      </c>
      <c r="K117" s="6" t="n">
        <v>-0.19</v>
      </c>
      <c r="L117" s="6" t="n">
        <v>0</v>
      </c>
      <c r="M117" s="6" t="s">
        <f>=I117+J117+K117+L117</f>
      </c>
      <c r="N117" s="6"/>
      <c r="O117" s="16"/>
    </row>
    <row collapsed="false" customFormat="false" customHeight="false" hidden="false" ht="12.1" outlineLevel="0" r="118">
      <c r="A118" s="21" t="n">
        <v>44788</v>
      </c>
      <c r="B118" s="22" t="s">
        <v>710</v>
      </c>
      <c r="C118" s="22" t="s">
        <v>255</v>
      </c>
      <c r="D118" s="22" t="s">
        <v>710</v>
      </c>
      <c r="E118" s="22" t="s">
        <v>710</v>
      </c>
      <c r="F118" s="22" t="s">
        <v>20</v>
      </c>
      <c r="G118" s="23" t="n">
        <v>1</v>
      </c>
      <c r="H118" s="24" t="n">
        <v>200</v>
      </c>
      <c r="I118" s="24" t="n">
        <v>200</v>
      </c>
      <c r="J118" s="24" t="n">
        <v>0</v>
      </c>
      <c r="K118" s="24" t="n">
        <v>0</v>
      </c>
      <c r="L118" s="24" t="n">
        <v>0</v>
      </c>
      <c r="M118" s="6" t="s">
        <f>=I118+J118+K118+L118</f>
      </c>
      <c r="N118" s="24"/>
      <c r="O118" s="22"/>
    </row>
    <row collapsed="false" customFormat="false" customHeight="false" hidden="false" ht="12.1" outlineLevel="0" r="119">
      <c r="A119" s="20" t="n">
        <v>44788.630381944</v>
      </c>
      <c r="B119" s="16" t="s">
        <v>128</v>
      </c>
      <c r="C119" s="16" t="s">
        <v>721</v>
      </c>
      <c r="D119" s="16" t="s">
        <v>587</v>
      </c>
      <c r="E119" s="16" t="s">
        <v>122</v>
      </c>
      <c r="F119" s="16" t="s">
        <v>20</v>
      </c>
      <c r="G119" s="7" t="n">
        <v>175</v>
      </c>
      <c r="H119" s="6" t="n">
        <v>1.1729</v>
      </c>
      <c r="I119" s="6" t="n">
        <v>-205.25</v>
      </c>
      <c r="J119" s="6" t="n">
        <v>0</v>
      </c>
      <c r="K119" s="6" t="n">
        <v>0</v>
      </c>
      <c r="L119" s="6" t="n">
        <v>0</v>
      </c>
      <c r="M119" s="6" t="s">
        <f>=I119+J119+K119+L119</f>
      </c>
      <c r="N119" s="6"/>
      <c r="O119" s="16"/>
    </row>
    <row collapsed="false" customFormat="false" customHeight="false" hidden="false" ht="12.1" outlineLevel="0" r="120">
      <c r="A120" s="25" t="n">
        <v>44789.713888889</v>
      </c>
      <c r="B120" s="26" t="s">
        <v>92</v>
      </c>
      <c r="C120" s="26" t="s">
        <v>727</v>
      </c>
      <c r="D120" s="26" t="s">
        <v>588</v>
      </c>
      <c r="E120" s="26" t="s">
        <v>18</v>
      </c>
      <c r="F120" s="26" t="s">
        <v>20</v>
      </c>
      <c r="G120" s="27" t="n">
        <v>-1</v>
      </c>
      <c r="H120" s="28" t="n">
        <v>1158</v>
      </c>
      <c r="I120" s="28" t="n">
        <v>1158</v>
      </c>
      <c r="J120" s="28" t="n">
        <v>0</v>
      </c>
      <c r="K120" s="28" t="n">
        <v>-0.7</v>
      </c>
      <c r="L120" s="28" t="n">
        <v>0</v>
      </c>
      <c r="M120" s="6" t="s">
        <f>=I120+J120+K120+L120</f>
      </c>
      <c r="N120" s="28"/>
      <c r="O120" s="26"/>
    </row>
    <row collapsed="false" customFormat="false" customHeight="false" hidden="false" ht="12.1" outlineLevel="0" r="121">
      <c r="A121" s="20" t="n">
        <v>44789.71474537</v>
      </c>
      <c r="B121" s="16" t="s">
        <v>128</v>
      </c>
      <c r="C121" s="16" t="s">
        <v>721</v>
      </c>
      <c r="D121" s="16" t="s">
        <v>587</v>
      </c>
      <c r="E121" s="16" t="s">
        <v>122</v>
      </c>
      <c r="F121" s="16" t="s">
        <v>20</v>
      </c>
      <c r="G121" s="7" t="n">
        <v>985</v>
      </c>
      <c r="H121" s="6" t="n">
        <v>1.173</v>
      </c>
      <c r="I121" s="6" t="n">
        <v>-1155.41</v>
      </c>
      <c r="J121" s="6" t="n">
        <v>0</v>
      </c>
      <c r="K121" s="6" t="n">
        <v>0</v>
      </c>
      <c r="L121" s="6" t="n">
        <v>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5" t="n">
        <v>44791.486493056</v>
      </c>
      <c r="B122" s="26" t="s">
        <v>128</v>
      </c>
      <c r="C122" s="26" t="s">
        <v>721</v>
      </c>
      <c r="D122" s="26" t="s">
        <v>588</v>
      </c>
      <c r="E122" s="26" t="s">
        <v>122</v>
      </c>
      <c r="F122" s="26" t="s">
        <v>20</v>
      </c>
      <c r="G122" s="27" t="n">
        <v>-520</v>
      </c>
      <c r="H122" s="28" t="n">
        <v>1.174</v>
      </c>
      <c r="I122" s="28" t="n">
        <v>610.48</v>
      </c>
      <c r="J122" s="28" t="n">
        <v>0</v>
      </c>
      <c r="K122" s="28" t="n">
        <v>0</v>
      </c>
      <c r="L122" s="28" t="n">
        <v>0</v>
      </c>
      <c r="M122" s="6" t="s">
        <f>=I122+J122+K122+L122</f>
      </c>
      <c r="N122" s="28"/>
      <c r="O122" s="26"/>
    </row>
    <row collapsed="false" customFormat="false" customHeight="false" hidden="false" ht="12.1" outlineLevel="0" r="123">
      <c r="A123" s="20" t="n">
        <v>44791.486805556</v>
      </c>
      <c r="B123" s="16" t="s">
        <v>78</v>
      </c>
      <c r="C123" s="16" t="s">
        <v>740</v>
      </c>
      <c r="D123" s="16" t="s">
        <v>587</v>
      </c>
      <c r="E123" s="16" t="s">
        <v>18</v>
      </c>
      <c r="F123" s="16" t="s">
        <v>20</v>
      </c>
      <c r="G123" s="7" t="n">
        <v>1</v>
      </c>
      <c r="H123" s="6" t="n">
        <v>596.5</v>
      </c>
      <c r="I123" s="6" t="n">
        <v>-596.5</v>
      </c>
      <c r="J123" s="6" t="n">
        <v>0</v>
      </c>
      <c r="K123" s="6" t="n">
        <v>-0.36</v>
      </c>
      <c r="L123" s="6" t="n">
        <v>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5" t="n">
        <v>44792.41962963</v>
      </c>
      <c r="B124" s="26" t="s">
        <v>78</v>
      </c>
      <c r="C124" s="26" t="s">
        <v>740</v>
      </c>
      <c r="D124" s="26" t="s">
        <v>588</v>
      </c>
      <c r="E124" s="26" t="s">
        <v>18</v>
      </c>
      <c r="F124" s="26" t="s">
        <v>20</v>
      </c>
      <c r="G124" s="27" t="n">
        <v>-1</v>
      </c>
      <c r="H124" s="28" t="n">
        <v>614.5</v>
      </c>
      <c r="I124" s="28" t="n">
        <v>614.5</v>
      </c>
      <c r="J124" s="28" t="n">
        <v>0</v>
      </c>
      <c r="K124" s="28" t="n">
        <v>-0.38</v>
      </c>
      <c r="L124" s="28" t="n">
        <v>0</v>
      </c>
      <c r="M124" s="6" t="s">
        <f>=I124+J124+K124+L124</f>
      </c>
      <c r="N124" s="28"/>
      <c r="O124" s="26"/>
    </row>
    <row collapsed="false" customFormat="false" customHeight="false" hidden="false" ht="12.1" outlineLevel="0" r="125">
      <c r="A125" s="20" t="n">
        <v>44792.692199074</v>
      </c>
      <c r="B125" s="16" t="s">
        <v>78</v>
      </c>
      <c r="C125" s="16" t="s">
        <v>740</v>
      </c>
      <c r="D125" s="16" t="s">
        <v>587</v>
      </c>
      <c r="E125" s="16" t="s">
        <v>18</v>
      </c>
      <c r="F125" s="16" t="s">
        <v>20</v>
      </c>
      <c r="G125" s="7" t="n">
        <v>1</v>
      </c>
      <c r="H125" s="6" t="n">
        <v>591</v>
      </c>
      <c r="I125" s="6" t="n">
        <v>-591</v>
      </c>
      <c r="J125" s="6" t="n">
        <v>0</v>
      </c>
      <c r="K125" s="6" t="n">
        <v>-0.36</v>
      </c>
      <c r="L125" s="6" t="n">
        <v>0</v>
      </c>
      <c r="M125" s="6" t="s">
        <f>=I125+J125+K125+L125</f>
      </c>
      <c r="N125" s="6"/>
      <c r="O125" s="16"/>
    </row>
    <row collapsed="false" customFormat="false" customHeight="false" hidden="false" ht="12.1" outlineLevel="0" r="126">
      <c r="A126" s="25" t="n">
        <v>44792.719444444</v>
      </c>
      <c r="B126" s="26" t="s">
        <v>128</v>
      </c>
      <c r="C126" s="26" t="s">
        <v>721</v>
      </c>
      <c r="D126" s="26" t="s">
        <v>588</v>
      </c>
      <c r="E126" s="26" t="s">
        <v>122</v>
      </c>
      <c r="F126" s="26" t="s">
        <v>20</v>
      </c>
      <c r="G126" s="27" t="n">
        <v>-747</v>
      </c>
      <c r="H126" s="28" t="n">
        <v>1.1741</v>
      </c>
      <c r="I126" s="28" t="n">
        <v>877.05</v>
      </c>
      <c r="J126" s="28" t="n">
        <v>0</v>
      </c>
      <c r="K126" s="28" t="n">
        <v>0</v>
      </c>
      <c r="L126" s="28" t="n">
        <v>0</v>
      </c>
      <c r="M126" s="6" t="s">
        <f>=I126+J126+K126+L126</f>
      </c>
      <c r="N126" s="28"/>
      <c r="O126" s="26"/>
    </row>
    <row collapsed="false" customFormat="false" customHeight="false" hidden="false" ht="12.1" outlineLevel="0" r="127">
      <c r="A127" s="21" t="n">
        <v>44795</v>
      </c>
      <c r="B127" s="22" t="s">
        <v>710</v>
      </c>
      <c r="C127" s="22" t="s">
        <v>255</v>
      </c>
      <c r="D127" s="22" t="s">
        <v>710</v>
      </c>
      <c r="E127" s="22" t="s">
        <v>710</v>
      </c>
      <c r="F127" s="22" t="s">
        <v>20</v>
      </c>
      <c r="G127" s="23" t="n">
        <v>1</v>
      </c>
      <c r="H127" s="24" t="n">
        <v>800</v>
      </c>
      <c r="I127" s="24" t="n">
        <v>800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4"/>
      <c r="O127" s="22"/>
    </row>
    <row collapsed="false" customFormat="false" customHeight="false" hidden="false" ht="12.1" outlineLevel="0" r="128">
      <c r="A128" s="20" t="n">
        <v>44795.419224537</v>
      </c>
      <c r="B128" s="16" t="s">
        <v>599</v>
      </c>
      <c r="C128" s="16" t="s">
        <v>741</v>
      </c>
      <c r="D128" s="16" t="s">
        <v>587</v>
      </c>
      <c r="E128" s="16" t="s">
        <v>18</v>
      </c>
      <c r="F128" s="16" t="s">
        <v>20</v>
      </c>
      <c r="G128" s="7" t="n">
        <v>2000</v>
      </c>
      <c r="H128" s="6" t="n">
        <v>0.5956</v>
      </c>
      <c r="I128" s="6" t="n">
        <v>-1191.2</v>
      </c>
      <c r="J128" s="6" t="n">
        <v>0</v>
      </c>
      <c r="K128" s="6" t="n">
        <v>-0.72</v>
      </c>
      <c r="L128" s="6" t="n">
        <v>0</v>
      </c>
      <c r="M128" s="6" t="s">
        <f>=I128+J128+K128+L128</f>
      </c>
      <c r="N128" s="6"/>
      <c r="O128" s="16"/>
    </row>
    <row collapsed="false" customFormat="false" customHeight="false" hidden="false" ht="12.1" outlineLevel="0" r="129">
      <c r="A129" s="20" t="n">
        <v>44795.631875</v>
      </c>
      <c r="B129" s="16" t="s">
        <v>600</v>
      </c>
      <c r="C129" s="16" t="s">
        <v>742</v>
      </c>
      <c r="D129" s="16" t="s">
        <v>587</v>
      </c>
      <c r="E129" s="16" t="s">
        <v>18</v>
      </c>
      <c r="F129" s="16" t="s">
        <v>20</v>
      </c>
      <c r="G129" s="7" t="n">
        <v>2</v>
      </c>
      <c r="H129" s="6" t="n">
        <v>222.9</v>
      </c>
      <c r="I129" s="6" t="n">
        <v>-445.8</v>
      </c>
      <c r="J129" s="6" t="n">
        <v>0</v>
      </c>
      <c r="K129" s="6" t="n">
        <v>-0.27</v>
      </c>
      <c r="L129" s="6" t="n">
        <v>0</v>
      </c>
      <c r="M129" s="6" t="s">
        <f>=I129+J129+K129+L129</f>
      </c>
      <c r="N129" s="6"/>
      <c r="O129" s="16"/>
    </row>
    <row collapsed="false" customFormat="false" customHeight="false" hidden="false" ht="12.1" outlineLevel="0" r="130">
      <c r="A130" s="20" t="n">
        <v>44795.672349537</v>
      </c>
      <c r="B130" s="16" t="s">
        <v>128</v>
      </c>
      <c r="C130" s="16" t="s">
        <v>721</v>
      </c>
      <c r="D130" s="16" t="s">
        <v>587</v>
      </c>
      <c r="E130" s="16" t="s">
        <v>122</v>
      </c>
      <c r="F130" s="16" t="s">
        <v>20</v>
      </c>
      <c r="G130" s="7" t="n">
        <v>60</v>
      </c>
      <c r="H130" s="6" t="n">
        <v>1.1745</v>
      </c>
      <c r="I130" s="6" t="n">
        <v>-70.47</v>
      </c>
      <c r="J130" s="6" t="n">
        <v>0</v>
      </c>
      <c r="K130" s="6" t="n">
        <v>0</v>
      </c>
      <c r="L130" s="6" t="n">
        <v>0</v>
      </c>
      <c r="M130" s="6" t="s">
        <f>=I130+J130+K130+L130</f>
      </c>
      <c r="N130" s="6"/>
      <c r="O130" s="16"/>
    </row>
    <row collapsed="false" customFormat="false" customHeight="false" hidden="false" ht="12.1" outlineLevel="0" r="131">
      <c r="A131" s="25" t="n">
        <v>44797.421608796</v>
      </c>
      <c r="B131" s="26" t="s">
        <v>600</v>
      </c>
      <c r="C131" s="26" t="s">
        <v>742</v>
      </c>
      <c r="D131" s="26" t="s">
        <v>588</v>
      </c>
      <c r="E131" s="26" t="s">
        <v>18</v>
      </c>
      <c r="F131" s="26" t="s">
        <v>20</v>
      </c>
      <c r="G131" s="27" t="n">
        <v>-2</v>
      </c>
      <c r="H131" s="28" t="n">
        <v>228.9</v>
      </c>
      <c r="I131" s="28" t="n">
        <v>457.8</v>
      </c>
      <c r="J131" s="28" t="n">
        <v>0</v>
      </c>
      <c r="K131" s="28" t="n">
        <v>-0.27</v>
      </c>
      <c r="L131" s="28" t="n">
        <v>0</v>
      </c>
      <c r="M131" s="6" t="s">
        <f>=I131+J131+K131+L131</f>
      </c>
      <c r="N131" s="28"/>
      <c r="O131" s="26"/>
    </row>
    <row collapsed="false" customFormat="false" customHeight="false" hidden="false" ht="12.1" outlineLevel="0" r="132">
      <c r="A132" s="25" t="n">
        <v>44798.630740741</v>
      </c>
      <c r="B132" s="26" t="s">
        <v>128</v>
      </c>
      <c r="C132" s="26" t="s">
        <v>721</v>
      </c>
      <c r="D132" s="26" t="s">
        <v>588</v>
      </c>
      <c r="E132" s="26" t="s">
        <v>122</v>
      </c>
      <c r="F132" s="26" t="s">
        <v>20</v>
      </c>
      <c r="G132" s="27" t="n">
        <v>-50</v>
      </c>
      <c r="H132" s="28" t="n">
        <v>1.1756</v>
      </c>
      <c r="I132" s="28" t="n">
        <v>58.78</v>
      </c>
      <c r="J132" s="28" t="n">
        <v>0</v>
      </c>
      <c r="K132" s="28" t="n">
        <v>0</v>
      </c>
      <c r="L132" s="28" t="n">
        <v>0</v>
      </c>
      <c r="M132" s="6" t="s">
        <f>=I132+J132+K132+L132</f>
      </c>
      <c r="N132" s="28"/>
      <c r="O132" s="26"/>
    </row>
    <row collapsed="false" customFormat="false" customHeight="false" hidden="false" ht="12.1" outlineLevel="0" r="133">
      <c r="A133" s="20" t="n">
        <v>44798.630949074</v>
      </c>
      <c r="B133" s="16" t="s">
        <v>96</v>
      </c>
      <c r="C133" s="16" t="s">
        <v>734</v>
      </c>
      <c r="D133" s="16" t="s">
        <v>587</v>
      </c>
      <c r="E133" s="16" t="s">
        <v>18</v>
      </c>
      <c r="F133" s="16" t="s">
        <v>20</v>
      </c>
      <c r="G133" s="7" t="n">
        <v>10</v>
      </c>
      <c r="H133" s="6" t="n">
        <v>46.6</v>
      </c>
      <c r="I133" s="6" t="n">
        <v>-466</v>
      </c>
      <c r="J133" s="6" t="n">
        <v>0</v>
      </c>
      <c r="K133" s="6" t="n">
        <v>-0.28</v>
      </c>
      <c r="L133" s="6" t="n">
        <v>0</v>
      </c>
      <c r="M133" s="6" t="s">
        <f>=I133+J133+K133+L133</f>
      </c>
      <c r="N133" s="6"/>
      <c r="O133" s="16"/>
    </row>
    <row collapsed="false" customFormat="false" customHeight="false" hidden="false" ht="12.1" outlineLevel="0" r="134">
      <c r="A134" s="20" t="n">
        <v>44798.742326389</v>
      </c>
      <c r="B134" s="16" t="s">
        <v>128</v>
      </c>
      <c r="C134" s="16" t="s">
        <v>721</v>
      </c>
      <c r="D134" s="16" t="s">
        <v>587</v>
      </c>
      <c r="E134" s="16" t="s">
        <v>122</v>
      </c>
      <c r="F134" s="16" t="s">
        <v>20</v>
      </c>
      <c r="G134" s="7" t="n">
        <v>40</v>
      </c>
      <c r="H134" s="6" t="n">
        <v>1.1756</v>
      </c>
      <c r="I134" s="6" t="n">
        <v>-47.02</v>
      </c>
      <c r="J134" s="6" t="n">
        <v>0</v>
      </c>
      <c r="K134" s="6" t="n">
        <v>0</v>
      </c>
      <c r="L134" s="6" t="n">
        <v>0</v>
      </c>
      <c r="M134" s="6" t="s">
        <f>=I134+J134+K134+L134</f>
      </c>
      <c r="N134" s="6"/>
      <c r="O134" s="16"/>
    </row>
    <row collapsed="false" customFormat="false" customHeight="false" hidden="false" ht="12.1" outlineLevel="0" r="135">
      <c r="A135" s="25" t="n">
        <v>44803.538055556</v>
      </c>
      <c r="B135" s="26" t="s">
        <v>78</v>
      </c>
      <c r="C135" s="26" t="s">
        <v>740</v>
      </c>
      <c r="D135" s="26" t="s">
        <v>588</v>
      </c>
      <c r="E135" s="26" t="s">
        <v>18</v>
      </c>
      <c r="F135" s="26" t="s">
        <v>20</v>
      </c>
      <c r="G135" s="27" t="n">
        <v>-1</v>
      </c>
      <c r="H135" s="28" t="n">
        <v>615.5</v>
      </c>
      <c r="I135" s="28" t="n">
        <v>615.5</v>
      </c>
      <c r="J135" s="28" t="n">
        <v>0</v>
      </c>
      <c r="K135" s="28" t="n">
        <v>-0.38</v>
      </c>
      <c r="L135" s="28" t="n">
        <v>0</v>
      </c>
      <c r="M135" s="6" t="s">
        <f>=I135+J135+K135+L135</f>
      </c>
      <c r="N135" s="28"/>
      <c r="O135" s="26"/>
    </row>
    <row collapsed="false" customFormat="false" customHeight="false" hidden="false" ht="12.1" outlineLevel="0" r="136">
      <c r="A136" s="20" t="n">
        <v>44803.566655093</v>
      </c>
      <c r="B136" s="16" t="s">
        <v>600</v>
      </c>
      <c r="C136" s="16" t="s">
        <v>742</v>
      </c>
      <c r="D136" s="16" t="s">
        <v>587</v>
      </c>
      <c r="E136" s="16" t="s">
        <v>18</v>
      </c>
      <c r="F136" s="16" t="s">
        <v>20</v>
      </c>
      <c r="G136" s="7" t="n">
        <v>2</v>
      </c>
      <c r="H136" s="6" t="n">
        <v>222</v>
      </c>
      <c r="I136" s="6" t="n">
        <v>-444</v>
      </c>
      <c r="J136" s="6" t="n">
        <v>0</v>
      </c>
      <c r="K136" s="6" t="n">
        <v>-0.27</v>
      </c>
      <c r="L136" s="6" t="n">
        <v>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44803.578275463</v>
      </c>
      <c r="B137" s="16" t="s">
        <v>128</v>
      </c>
      <c r="C137" s="16" t="s">
        <v>721</v>
      </c>
      <c r="D137" s="16" t="s">
        <v>587</v>
      </c>
      <c r="E137" s="16" t="s">
        <v>122</v>
      </c>
      <c r="F137" s="16" t="s">
        <v>20</v>
      </c>
      <c r="G137" s="7" t="n">
        <v>140</v>
      </c>
      <c r="H137" s="6" t="n">
        <v>1.1764</v>
      </c>
      <c r="I137" s="6" t="n">
        <v>-164.7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5" t="n">
        <v>44805.715902778</v>
      </c>
      <c r="B138" s="26" t="s">
        <v>124</v>
      </c>
      <c r="C138" s="26" t="s">
        <v>719</v>
      </c>
      <c r="D138" s="26" t="s">
        <v>588</v>
      </c>
      <c r="E138" s="26" t="s">
        <v>122</v>
      </c>
      <c r="F138" s="26" t="s">
        <v>20</v>
      </c>
      <c r="G138" s="27" t="n">
        <v>-4</v>
      </c>
      <c r="H138" s="28" t="n">
        <v>95</v>
      </c>
      <c r="I138" s="28" t="n">
        <v>380</v>
      </c>
      <c r="J138" s="28" t="n">
        <v>0</v>
      </c>
      <c r="K138" s="28" t="n">
        <v>-0.04</v>
      </c>
      <c r="L138" s="28" t="n">
        <v>0</v>
      </c>
      <c r="M138" s="6" t="s">
        <f>=I138+J138+K138+L138</f>
      </c>
      <c r="N138" s="28"/>
      <c r="O138" s="26"/>
    </row>
    <row collapsed="false" customFormat="false" customHeight="false" hidden="false" ht="12.1" outlineLevel="0" r="139">
      <c r="A139" s="20" t="n">
        <v>44805.717407407</v>
      </c>
      <c r="B139" s="16" t="s">
        <v>128</v>
      </c>
      <c r="C139" s="16" t="s">
        <v>721</v>
      </c>
      <c r="D139" s="16" t="s">
        <v>587</v>
      </c>
      <c r="E139" s="16" t="s">
        <v>122</v>
      </c>
      <c r="F139" s="16" t="s">
        <v>20</v>
      </c>
      <c r="G139" s="7" t="n">
        <v>335</v>
      </c>
      <c r="H139" s="6" t="n">
        <v>1.1775</v>
      </c>
      <c r="I139" s="6" t="n">
        <v>-394.46</v>
      </c>
      <c r="J139" s="6" t="n">
        <v>0</v>
      </c>
      <c r="K139" s="6" t="n">
        <v>0</v>
      </c>
      <c r="L139" s="6" t="n">
        <v>0</v>
      </c>
      <c r="M139" s="6" t="s">
        <f>=I139+J139+K139+L139</f>
      </c>
      <c r="N139" s="6"/>
      <c r="O139" s="16"/>
    </row>
    <row collapsed="false" customFormat="false" customHeight="false" hidden="false" ht="12.1" outlineLevel="0" r="140">
      <c r="A140" s="21" t="n">
        <v>44806</v>
      </c>
      <c r="B140" s="22" t="s">
        <v>710</v>
      </c>
      <c r="C140" s="22" t="s">
        <v>255</v>
      </c>
      <c r="D140" s="22" t="s">
        <v>710</v>
      </c>
      <c r="E140" s="22" t="s">
        <v>710</v>
      </c>
      <c r="F140" s="22" t="s">
        <v>20</v>
      </c>
      <c r="G140" s="23" t="n">
        <v>1</v>
      </c>
      <c r="H140" s="24" t="n">
        <v>150</v>
      </c>
      <c r="I140" s="24" t="n">
        <v>150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4"/>
      <c r="O140" s="22"/>
    </row>
    <row collapsed="false" customFormat="false" customHeight="false" hidden="false" ht="12.1" outlineLevel="0" r="141">
      <c r="A141" s="25" t="n">
        <v>44806.700231481</v>
      </c>
      <c r="B141" s="26" t="s">
        <v>128</v>
      </c>
      <c r="C141" s="26" t="s">
        <v>721</v>
      </c>
      <c r="D141" s="26" t="s">
        <v>588</v>
      </c>
      <c r="E141" s="26" t="s">
        <v>122</v>
      </c>
      <c r="F141" s="26" t="s">
        <v>20</v>
      </c>
      <c r="G141" s="27" t="n">
        <v>-525</v>
      </c>
      <c r="H141" s="28" t="n">
        <v>1.1776</v>
      </c>
      <c r="I141" s="28" t="n">
        <v>618.24</v>
      </c>
      <c r="J141" s="28" t="n">
        <v>0</v>
      </c>
      <c r="K141" s="28" t="n">
        <v>0</v>
      </c>
      <c r="L141" s="28" t="n">
        <v>0</v>
      </c>
      <c r="M141" s="6" t="s">
        <f>=I141+J141+K141+L141</f>
      </c>
      <c r="N141" s="28"/>
      <c r="O141" s="26"/>
    </row>
    <row collapsed="false" customFormat="false" customHeight="false" hidden="false" ht="12.1" outlineLevel="0" r="142">
      <c r="A142" s="20" t="n">
        <v>44806.703113426</v>
      </c>
      <c r="B142" s="16" t="s">
        <v>118</v>
      </c>
      <c r="C142" s="16" t="s">
        <v>743</v>
      </c>
      <c r="D142" s="16" t="s">
        <v>587</v>
      </c>
      <c r="E142" s="16" t="s">
        <v>18</v>
      </c>
      <c r="F142" s="16" t="s">
        <v>20</v>
      </c>
      <c r="G142" s="7" t="n">
        <v>100</v>
      </c>
      <c r="H142" s="6" t="n">
        <v>7.201</v>
      </c>
      <c r="I142" s="6" t="n">
        <v>-720.1</v>
      </c>
      <c r="J142" s="6" t="n">
        <v>0</v>
      </c>
      <c r="K142" s="6" t="n">
        <v>-0.43</v>
      </c>
      <c r="L142" s="6" t="n">
        <v>0</v>
      </c>
      <c r="M142" s="6" t="s">
        <f>=I142+J142+K142+L142</f>
      </c>
      <c r="N142" s="6"/>
      <c r="O142" s="16"/>
    </row>
    <row collapsed="false" customFormat="false" customHeight="false" hidden="false" ht="12.1" outlineLevel="0" r="143">
      <c r="A143" s="25" t="n">
        <v>44809.681990741</v>
      </c>
      <c r="B143" s="26" t="s">
        <v>597</v>
      </c>
      <c r="C143" s="26" t="s">
        <v>737</v>
      </c>
      <c r="D143" s="26" t="s">
        <v>588</v>
      </c>
      <c r="E143" s="26" t="s">
        <v>18</v>
      </c>
      <c r="F143" s="26" t="s">
        <v>20</v>
      </c>
      <c r="G143" s="27" t="n">
        <v>-10</v>
      </c>
      <c r="H143" s="28" t="n">
        <v>42.74</v>
      </c>
      <c r="I143" s="28" t="n">
        <v>427.4</v>
      </c>
      <c r="J143" s="28" t="n">
        <v>0</v>
      </c>
      <c r="K143" s="28" t="n">
        <v>-0.25</v>
      </c>
      <c r="L143" s="28" t="n">
        <v>0</v>
      </c>
      <c r="M143" s="6" t="s">
        <f>=I143+J143+K143+L143</f>
      </c>
      <c r="N143" s="28"/>
      <c r="O143" s="26"/>
    </row>
    <row collapsed="false" customFormat="false" customHeight="false" hidden="false" ht="12.1" outlineLevel="0" r="144">
      <c r="A144" s="20" t="n">
        <v>44809.684953704</v>
      </c>
      <c r="B144" s="16" t="s">
        <v>128</v>
      </c>
      <c r="C144" s="16" t="s">
        <v>721</v>
      </c>
      <c r="D144" s="16" t="s">
        <v>587</v>
      </c>
      <c r="E144" s="16" t="s">
        <v>122</v>
      </c>
      <c r="F144" s="16" t="s">
        <v>20</v>
      </c>
      <c r="G144" s="7" t="n">
        <v>400</v>
      </c>
      <c r="H144" s="6" t="n">
        <v>1.1779</v>
      </c>
      <c r="I144" s="6" t="n">
        <v>-471.16</v>
      </c>
      <c r="J144" s="6" t="n">
        <v>0</v>
      </c>
      <c r="K144" s="6" t="n">
        <v>0</v>
      </c>
      <c r="L144" s="6" t="n">
        <v>0</v>
      </c>
      <c r="M144" s="6" t="s">
        <f>=I144+J144+K144+L144</f>
      </c>
      <c r="N144" s="6"/>
      <c r="O144" s="16"/>
    </row>
    <row collapsed="false" customFormat="false" customHeight="false" hidden="false" ht="12.1" outlineLevel="0" r="145">
      <c r="A145" s="25" t="n">
        <v>44810.416678241</v>
      </c>
      <c r="B145" s="26" t="s">
        <v>68</v>
      </c>
      <c r="C145" s="26" t="s">
        <v>713</v>
      </c>
      <c r="D145" s="26" t="s">
        <v>588</v>
      </c>
      <c r="E145" s="26" t="s">
        <v>18</v>
      </c>
      <c r="F145" s="26" t="s">
        <v>20</v>
      </c>
      <c r="G145" s="27" t="n">
        <v>-100</v>
      </c>
      <c r="H145" s="28" t="n">
        <v>15.409</v>
      </c>
      <c r="I145" s="28" t="n">
        <v>1540.9</v>
      </c>
      <c r="J145" s="28" t="n">
        <v>0</v>
      </c>
      <c r="K145" s="28" t="n">
        <v>-0.93</v>
      </c>
      <c r="L145" s="28" t="n">
        <v>0</v>
      </c>
      <c r="M145" s="6" t="s">
        <f>=I145+J145+K145+L145</f>
      </c>
      <c r="N145" s="28"/>
      <c r="O145" s="26"/>
    </row>
    <row collapsed="false" customFormat="false" customHeight="false" hidden="false" ht="12.1" outlineLevel="0" r="146">
      <c r="A146" s="20" t="n">
        <v>44810.628263889</v>
      </c>
      <c r="B146" s="16" t="s">
        <v>68</v>
      </c>
      <c r="C146" s="16" t="s">
        <v>713</v>
      </c>
      <c r="D146" s="16" t="s">
        <v>587</v>
      </c>
      <c r="E146" s="16" t="s">
        <v>18</v>
      </c>
      <c r="F146" s="16" t="s">
        <v>20</v>
      </c>
      <c r="G146" s="7" t="n">
        <v>100</v>
      </c>
      <c r="H146" s="6" t="n">
        <v>14.5</v>
      </c>
      <c r="I146" s="6" t="n">
        <v>-1450</v>
      </c>
      <c r="J146" s="6" t="n">
        <v>0</v>
      </c>
      <c r="K146" s="6" t="n">
        <v>-0.87</v>
      </c>
      <c r="L146" s="6" t="n">
        <v>0</v>
      </c>
      <c r="M146" s="6" t="s">
        <f>=I146+J146+K146+L146</f>
      </c>
      <c r="N146" s="6"/>
      <c r="O146" s="16"/>
    </row>
    <row collapsed="false" customFormat="false" customHeight="false" hidden="false" ht="12.1" outlineLevel="0" r="147">
      <c r="A147" s="20" t="n">
        <v>44810.628958333</v>
      </c>
      <c r="B147" s="16" t="s">
        <v>128</v>
      </c>
      <c r="C147" s="16" t="s">
        <v>721</v>
      </c>
      <c r="D147" s="16" t="s">
        <v>587</v>
      </c>
      <c r="E147" s="16" t="s">
        <v>122</v>
      </c>
      <c r="F147" s="16" t="s">
        <v>20</v>
      </c>
      <c r="G147" s="7" t="n">
        <v>70</v>
      </c>
      <c r="H147" s="6" t="n">
        <v>1.1781</v>
      </c>
      <c r="I147" s="6" t="n">
        <v>-82.47</v>
      </c>
      <c r="J147" s="6" t="n">
        <v>0</v>
      </c>
      <c r="K147" s="6" t="n">
        <v>0</v>
      </c>
      <c r="L147" s="6" t="n">
        <v>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5" t="n">
        <v>44813.421782407</v>
      </c>
      <c r="B148" s="26" t="s">
        <v>31</v>
      </c>
      <c r="C148" s="26" t="s">
        <v>714</v>
      </c>
      <c r="D148" s="26" t="s">
        <v>588</v>
      </c>
      <c r="E148" s="26" t="s">
        <v>18</v>
      </c>
      <c r="F148" s="26" t="s">
        <v>20</v>
      </c>
      <c r="G148" s="27" t="n">
        <v>-10000</v>
      </c>
      <c r="H148" s="28" t="n">
        <v>0.019775</v>
      </c>
      <c r="I148" s="28" t="n">
        <v>197.75</v>
      </c>
      <c r="J148" s="28" t="n">
        <v>0</v>
      </c>
      <c r="K148" s="28" t="n">
        <v>-0.12</v>
      </c>
      <c r="L148" s="28" t="n">
        <v>0</v>
      </c>
      <c r="M148" s="6" t="s">
        <f>=I148+J148+K148+L148</f>
      </c>
      <c r="N148" s="28"/>
      <c r="O148" s="26"/>
    </row>
    <row collapsed="false" customFormat="false" customHeight="false" hidden="false" ht="12.1" outlineLevel="0" r="149">
      <c r="A149" s="20" t="n">
        <v>44813.422395833</v>
      </c>
      <c r="B149" s="16" t="s">
        <v>128</v>
      </c>
      <c r="C149" s="16" t="s">
        <v>721</v>
      </c>
      <c r="D149" s="16" t="s">
        <v>587</v>
      </c>
      <c r="E149" s="16" t="s">
        <v>122</v>
      </c>
      <c r="F149" s="16" t="s">
        <v>20</v>
      </c>
      <c r="G149" s="7" t="n">
        <v>178</v>
      </c>
      <c r="H149" s="6" t="n">
        <v>1.1793</v>
      </c>
      <c r="I149" s="6" t="n">
        <v>-209.91</v>
      </c>
      <c r="J149" s="6" t="n">
        <v>0</v>
      </c>
      <c r="K149" s="6" t="n">
        <v>0</v>
      </c>
      <c r="L149" s="6" t="n">
        <v>0</v>
      </c>
      <c r="M149" s="6" t="s">
        <f>=I149+J149+K149+L149</f>
      </c>
      <c r="N149" s="6"/>
      <c r="O149" s="16"/>
    </row>
    <row collapsed="false" customFormat="false" customHeight="false" hidden="false" ht="12.1" outlineLevel="0" r="150">
      <c r="A150" s="25" t="n">
        <v>44820.666226852</v>
      </c>
      <c r="B150" s="26" t="s">
        <v>128</v>
      </c>
      <c r="C150" s="26" t="s">
        <v>721</v>
      </c>
      <c r="D150" s="26" t="s">
        <v>588</v>
      </c>
      <c r="E150" s="26" t="s">
        <v>122</v>
      </c>
      <c r="F150" s="26" t="s">
        <v>20</v>
      </c>
      <c r="G150" s="27" t="n">
        <v>-430</v>
      </c>
      <c r="H150" s="28" t="n">
        <v>1.1809</v>
      </c>
      <c r="I150" s="28" t="n">
        <v>507.79</v>
      </c>
      <c r="J150" s="28" t="n">
        <v>0</v>
      </c>
      <c r="K150" s="28" t="n">
        <v>0</v>
      </c>
      <c r="L150" s="28" t="n">
        <v>0</v>
      </c>
      <c r="M150" s="6" t="s">
        <f>=I150+J150+K150+L150</f>
      </c>
      <c r="N150" s="28"/>
      <c r="O150" s="26"/>
    </row>
    <row collapsed="false" customFormat="false" customHeight="false" hidden="false" ht="12.1" outlineLevel="0" r="151">
      <c r="A151" s="20" t="n">
        <v>44820.666400463</v>
      </c>
      <c r="B151" s="16" t="s">
        <v>104</v>
      </c>
      <c r="C151" s="16" t="s">
        <v>715</v>
      </c>
      <c r="D151" s="16" t="s">
        <v>587</v>
      </c>
      <c r="E151" s="16" t="s">
        <v>18</v>
      </c>
      <c r="F151" s="16" t="s">
        <v>20</v>
      </c>
      <c r="G151" s="7" t="n">
        <v>10</v>
      </c>
      <c r="H151" s="6" t="n">
        <v>47.995</v>
      </c>
      <c r="I151" s="6" t="n">
        <v>-479.95</v>
      </c>
      <c r="J151" s="6" t="n">
        <v>0</v>
      </c>
      <c r="K151" s="6" t="n">
        <v>-0.29</v>
      </c>
      <c r="L151" s="6" t="n">
        <v>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0" t="n">
        <v>44820.751956019</v>
      </c>
      <c r="B152" s="16" t="s">
        <v>128</v>
      </c>
      <c r="C152" s="16" t="s">
        <v>721</v>
      </c>
      <c r="D152" s="16" t="s">
        <v>587</v>
      </c>
      <c r="E152" s="16" t="s">
        <v>122</v>
      </c>
      <c r="F152" s="16" t="s">
        <v>20</v>
      </c>
      <c r="G152" s="7" t="n">
        <v>20</v>
      </c>
      <c r="H152" s="6" t="n">
        <v>1.1809</v>
      </c>
      <c r="I152" s="6" t="n">
        <v>-23.62</v>
      </c>
      <c r="J152" s="6" t="n">
        <v>0</v>
      </c>
      <c r="K152" s="6" t="n">
        <v>0</v>
      </c>
      <c r="L152" s="6" t="n">
        <v>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44825.681342593</v>
      </c>
      <c r="B153" s="16" t="s">
        <v>128</v>
      </c>
      <c r="C153" s="16" t="s">
        <v>721</v>
      </c>
      <c r="D153" s="16" t="s">
        <v>587</v>
      </c>
      <c r="E153" s="16" t="s">
        <v>122</v>
      </c>
      <c r="F153" s="16" t="s">
        <v>20</v>
      </c>
      <c r="G153" s="7" t="n">
        <v>25</v>
      </c>
      <c r="H153" s="6" t="n">
        <v>1.1815</v>
      </c>
      <c r="I153" s="6" t="n">
        <v>-29.54</v>
      </c>
      <c r="J153" s="6" t="n">
        <v>0</v>
      </c>
      <c r="K153" s="6" t="n">
        <v>0</v>
      </c>
      <c r="L153" s="6" t="n">
        <v>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5" t="n">
        <v>44830.568865741</v>
      </c>
      <c r="B154" s="26" t="s">
        <v>128</v>
      </c>
      <c r="C154" s="26" t="s">
        <v>721</v>
      </c>
      <c r="D154" s="26" t="s">
        <v>588</v>
      </c>
      <c r="E154" s="26" t="s">
        <v>122</v>
      </c>
      <c r="F154" s="26" t="s">
        <v>20</v>
      </c>
      <c r="G154" s="27" t="n">
        <v>-263</v>
      </c>
      <c r="H154" s="28" t="n">
        <v>1.1825</v>
      </c>
      <c r="I154" s="28" t="n">
        <v>311</v>
      </c>
      <c r="J154" s="28" t="n">
        <v>0</v>
      </c>
      <c r="K154" s="28" t="n">
        <v>0</v>
      </c>
      <c r="L154" s="28" t="n">
        <v>0</v>
      </c>
      <c r="M154" s="6" t="s">
        <f>=I154+J154+K154+L154</f>
      </c>
      <c r="N154" s="28"/>
      <c r="O154" s="26"/>
    </row>
    <row collapsed="false" customFormat="false" customHeight="false" hidden="false" ht="12.1" outlineLevel="0" r="155">
      <c r="A155" s="20" t="n">
        <v>44830.569074074</v>
      </c>
      <c r="B155" s="16" t="s">
        <v>124</v>
      </c>
      <c r="C155" s="16" t="s">
        <v>719</v>
      </c>
      <c r="D155" s="16" t="s">
        <v>587</v>
      </c>
      <c r="E155" s="16" t="s">
        <v>122</v>
      </c>
      <c r="F155" s="16" t="s">
        <v>20</v>
      </c>
      <c r="G155" s="7" t="n">
        <v>4</v>
      </c>
      <c r="H155" s="6" t="n">
        <v>75.05</v>
      </c>
      <c r="I155" s="6" t="n">
        <v>-300.2</v>
      </c>
      <c r="J155" s="6" t="n">
        <v>0</v>
      </c>
      <c r="K155" s="6" t="n">
        <v>-0.03</v>
      </c>
      <c r="L155" s="6" t="n">
        <v>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5" t="n">
        <v>44838.491134259</v>
      </c>
      <c r="B156" s="26" t="s">
        <v>124</v>
      </c>
      <c r="C156" s="26" t="s">
        <v>719</v>
      </c>
      <c r="D156" s="26" t="s">
        <v>588</v>
      </c>
      <c r="E156" s="26" t="s">
        <v>122</v>
      </c>
      <c r="F156" s="26" t="s">
        <v>20</v>
      </c>
      <c r="G156" s="27" t="n">
        <v>-4</v>
      </c>
      <c r="H156" s="28" t="n">
        <v>80.6</v>
      </c>
      <c r="I156" s="28" t="n">
        <v>322.4</v>
      </c>
      <c r="J156" s="28" t="n">
        <v>0</v>
      </c>
      <c r="K156" s="28" t="n">
        <v>-0.03</v>
      </c>
      <c r="L156" s="28" t="n">
        <v>0</v>
      </c>
      <c r="M156" s="6" t="s">
        <f>=I156+J156+K156+L156</f>
      </c>
      <c r="N156" s="28"/>
      <c r="O156" s="26"/>
    </row>
    <row collapsed="false" customFormat="false" customHeight="false" hidden="false" ht="12.1" outlineLevel="0" r="157">
      <c r="A157" s="20" t="n">
        <v>44838.493298611</v>
      </c>
      <c r="B157" s="16" t="s">
        <v>128</v>
      </c>
      <c r="C157" s="16" t="s">
        <v>721</v>
      </c>
      <c r="D157" s="16" t="s">
        <v>587</v>
      </c>
      <c r="E157" s="16" t="s">
        <v>122</v>
      </c>
      <c r="F157" s="16" t="s">
        <v>20</v>
      </c>
      <c r="G157" s="7" t="n">
        <v>278</v>
      </c>
      <c r="H157" s="6" t="n">
        <v>1.1846</v>
      </c>
      <c r="I157" s="6" t="n">
        <v>-329.32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44861.454548611</v>
      </c>
      <c r="B158" s="16" t="s">
        <v>128</v>
      </c>
      <c r="C158" s="16" t="s">
        <v>721</v>
      </c>
      <c r="D158" s="16" t="s">
        <v>587</v>
      </c>
      <c r="E158" s="16" t="s">
        <v>122</v>
      </c>
      <c r="F158" s="16" t="s">
        <v>20</v>
      </c>
      <c r="G158" s="7" t="n">
        <v>375</v>
      </c>
      <c r="H158" s="6" t="n">
        <v>1.1903</v>
      </c>
      <c r="I158" s="6" t="n">
        <v>-446.36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5" t="n">
        <v>44866.573819444</v>
      </c>
      <c r="B159" s="26" t="s">
        <v>49</v>
      </c>
      <c r="C159" s="26" t="s">
        <v>739</v>
      </c>
      <c r="D159" s="26" t="s">
        <v>588</v>
      </c>
      <c r="E159" s="26" t="s">
        <v>18</v>
      </c>
      <c r="F159" s="26" t="s">
        <v>20</v>
      </c>
      <c r="G159" s="27" t="n">
        <v>-1</v>
      </c>
      <c r="H159" s="28" t="n">
        <v>434.45</v>
      </c>
      <c r="I159" s="28" t="n">
        <v>434.45</v>
      </c>
      <c r="J159" s="28" t="n">
        <v>0</v>
      </c>
      <c r="K159" s="28" t="n">
        <v>-0.35</v>
      </c>
      <c r="L159" s="28" t="n">
        <v>0</v>
      </c>
      <c r="M159" s="6" t="s">
        <f>=I159+J159+K159+L159</f>
      </c>
      <c r="N159" s="28"/>
      <c r="O159" s="26"/>
    </row>
    <row collapsed="false" customFormat="false" customHeight="false" hidden="false" ht="12.1" outlineLevel="0" r="160">
      <c r="A160" s="20" t="n">
        <v>44866.573958333</v>
      </c>
      <c r="B160" s="16" t="s">
        <v>128</v>
      </c>
      <c r="C160" s="16" t="s">
        <v>721</v>
      </c>
      <c r="D160" s="16" t="s">
        <v>587</v>
      </c>
      <c r="E160" s="16" t="s">
        <v>122</v>
      </c>
      <c r="F160" s="16" t="s">
        <v>20</v>
      </c>
      <c r="G160" s="7" t="n">
        <v>365</v>
      </c>
      <c r="H160" s="6" t="n">
        <v>1.1911</v>
      </c>
      <c r="I160" s="6" t="n">
        <v>-434.75</v>
      </c>
      <c r="J160" s="6" t="n">
        <v>0</v>
      </c>
      <c r="K160" s="6" t="n">
        <v>0</v>
      </c>
      <c r="L160" s="6" t="n">
        <v>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20" t="n">
        <v>44868.756238426</v>
      </c>
      <c r="B161" s="16" t="s">
        <v>128</v>
      </c>
      <c r="C161" s="16" t="s">
        <v>721</v>
      </c>
      <c r="D161" s="16" t="s">
        <v>587</v>
      </c>
      <c r="E161" s="16" t="s">
        <v>122</v>
      </c>
      <c r="F161" s="16" t="s">
        <v>20</v>
      </c>
      <c r="G161" s="7" t="n">
        <v>20</v>
      </c>
      <c r="H161" s="6" t="n">
        <v>1.1923</v>
      </c>
      <c r="I161" s="6" t="n">
        <v>-23.85</v>
      </c>
      <c r="J161" s="6" t="n">
        <v>0</v>
      </c>
      <c r="K161" s="6" t="n">
        <v>0</v>
      </c>
      <c r="L161" s="6" t="n">
        <v>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5" t="n">
        <v>44872.532476852</v>
      </c>
      <c r="B162" s="26" t="s">
        <v>128</v>
      </c>
      <c r="C162" s="26" t="s">
        <v>721</v>
      </c>
      <c r="D162" s="26" t="s">
        <v>588</v>
      </c>
      <c r="E162" s="26" t="s">
        <v>122</v>
      </c>
      <c r="F162" s="26" t="s">
        <v>20</v>
      </c>
      <c r="G162" s="27" t="n">
        <v>-390</v>
      </c>
      <c r="H162" s="28" t="n">
        <v>1.1923</v>
      </c>
      <c r="I162" s="28" t="n">
        <v>465</v>
      </c>
      <c r="J162" s="28" t="n">
        <v>0</v>
      </c>
      <c r="K162" s="28" t="n">
        <v>0</v>
      </c>
      <c r="L162" s="28" t="n">
        <v>0</v>
      </c>
      <c r="M162" s="6" t="s">
        <f>=I162+J162+K162+L162</f>
      </c>
      <c r="N162" s="28"/>
      <c r="O162" s="26"/>
    </row>
    <row collapsed="false" customFormat="false" customHeight="false" hidden="false" ht="12.1" outlineLevel="0" r="163">
      <c r="A163" s="25" t="n">
        <v>44873.691122685</v>
      </c>
      <c r="B163" s="26" t="s">
        <v>128</v>
      </c>
      <c r="C163" s="26" t="s">
        <v>721</v>
      </c>
      <c r="D163" s="26" t="s">
        <v>588</v>
      </c>
      <c r="E163" s="26" t="s">
        <v>122</v>
      </c>
      <c r="F163" s="26" t="s">
        <v>20</v>
      </c>
      <c r="G163" s="27" t="n">
        <v>-50</v>
      </c>
      <c r="H163" s="28" t="n">
        <v>1.1925</v>
      </c>
      <c r="I163" s="28" t="n">
        <v>59.63</v>
      </c>
      <c r="J163" s="28" t="n">
        <v>0</v>
      </c>
      <c r="K163" s="28" t="n">
        <v>0</v>
      </c>
      <c r="L163" s="28" t="n">
        <v>0</v>
      </c>
      <c r="M163" s="6" t="s">
        <f>=I163+J163+K163+L163</f>
      </c>
      <c r="N163" s="28"/>
      <c r="O163" s="26"/>
    </row>
    <row collapsed="false" customFormat="false" customHeight="false" hidden="false" ht="12.1" outlineLevel="0" r="164">
      <c r="A164" s="20" t="n">
        <v>44873.720219907</v>
      </c>
      <c r="B164" s="16" t="s">
        <v>108</v>
      </c>
      <c r="C164" s="16" t="s">
        <v>744</v>
      </c>
      <c r="D164" s="16" t="s">
        <v>587</v>
      </c>
      <c r="E164" s="16" t="s">
        <v>18</v>
      </c>
      <c r="F164" s="16" t="s">
        <v>20</v>
      </c>
      <c r="G164" s="7" t="n">
        <v>1</v>
      </c>
      <c r="H164" s="6" t="n">
        <v>498</v>
      </c>
      <c r="I164" s="6" t="n">
        <v>-498</v>
      </c>
      <c r="J164" s="6" t="n">
        <v>0</v>
      </c>
      <c r="K164" s="6" t="n">
        <v>-0.25</v>
      </c>
      <c r="L164" s="6" t="n">
        <v>0</v>
      </c>
      <c r="M164" s="6" t="s">
        <f>=I164+J164+K164+L164</f>
      </c>
      <c r="N164" s="6"/>
      <c r="O164" s="16"/>
    </row>
    <row collapsed="false" customFormat="false" customHeight="false" hidden="false" ht="12.1" outlineLevel="0" r="165">
      <c r="A165" s="20" t="n">
        <v>44873.723136574</v>
      </c>
      <c r="B165" s="16" t="s">
        <v>128</v>
      </c>
      <c r="C165" s="16" t="s">
        <v>721</v>
      </c>
      <c r="D165" s="16" t="s">
        <v>587</v>
      </c>
      <c r="E165" s="16" t="s">
        <v>122</v>
      </c>
      <c r="F165" s="16" t="s">
        <v>20</v>
      </c>
      <c r="G165" s="7" t="n">
        <v>20</v>
      </c>
      <c r="H165" s="6" t="n">
        <v>1.1926</v>
      </c>
      <c r="I165" s="6" t="n">
        <v>-23.85</v>
      </c>
      <c r="J165" s="6" t="n">
        <v>0</v>
      </c>
      <c r="K165" s="6" t="n">
        <v>0</v>
      </c>
      <c r="L165" s="6" t="n">
        <v>0</v>
      </c>
      <c r="M165" s="6" t="s">
        <f>=I165+J165+K165+L165</f>
      </c>
      <c r="N165" s="6"/>
      <c r="O165" s="16"/>
    </row>
    <row collapsed="false" customFormat="false" customHeight="false" hidden="false" ht="12.1" outlineLevel="0" r="166">
      <c r="A166" s="25" t="n">
        <v>44875.749965278</v>
      </c>
      <c r="B166" s="26" t="s">
        <v>128</v>
      </c>
      <c r="C166" s="26" t="s">
        <v>721</v>
      </c>
      <c r="D166" s="26" t="s">
        <v>588</v>
      </c>
      <c r="E166" s="26" t="s">
        <v>122</v>
      </c>
      <c r="F166" s="26" t="s">
        <v>20</v>
      </c>
      <c r="G166" s="27" t="n">
        <v>-325</v>
      </c>
      <c r="H166" s="28" t="n">
        <v>1.1935</v>
      </c>
      <c r="I166" s="28" t="n">
        <v>387.89</v>
      </c>
      <c r="J166" s="28" t="n">
        <v>0</v>
      </c>
      <c r="K166" s="28" t="n">
        <v>0</v>
      </c>
      <c r="L166" s="28" t="n">
        <v>0</v>
      </c>
      <c r="M166" s="6" t="s">
        <f>=I166+J166+K166+L166</f>
      </c>
      <c r="N166" s="28"/>
      <c r="O166" s="26"/>
    </row>
    <row collapsed="false" customFormat="false" customHeight="false" hidden="false" ht="12.1" outlineLevel="0" r="167">
      <c r="A167" s="20" t="n">
        <v>44875.750509259</v>
      </c>
      <c r="B167" s="16" t="s">
        <v>597</v>
      </c>
      <c r="C167" s="16" t="s">
        <v>737</v>
      </c>
      <c r="D167" s="16" t="s">
        <v>587</v>
      </c>
      <c r="E167" s="16" t="s">
        <v>18</v>
      </c>
      <c r="F167" s="16" t="s">
        <v>20</v>
      </c>
      <c r="G167" s="7" t="n">
        <v>10</v>
      </c>
      <c r="H167" s="6" t="n">
        <v>37.99</v>
      </c>
      <c r="I167" s="6" t="n">
        <v>-379.9</v>
      </c>
      <c r="J167" s="6" t="n">
        <v>0</v>
      </c>
      <c r="K167" s="6" t="n">
        <v>-0.31</v>
      </c>
      <c r="L167" s="6" t="n">
        <v>0</v>
      </c>
      <c r="M167" s="6" t="s">
        <f>=I167+J167+K167+L167</f>
      </c>
      <c r="N167" s="6"/>
      <c r="O167" s="16"/>
    </row>
    <row collapsed="false" customFormat="false" customHeight="false" hidden="false" ht="12.1" outlineLevel="0" r="168">
      <c r="A168" s="21" t="n">
        <v>44893</v>
      </c>
      <c r="B168" s="22" t="s">
        <v>710</v>
      </c>
      <c r="C168" s="22" t="s">
        <v>255</v>
      </c>
      <c r="D168" s="22" t="s">
        <v>710</v>
      </c>
      <c r="E168" s="22" t="s">
        <v>710</v>
      </c>
      <c r="F168" s="22" t="s">
        <v>20</v>
      </c>
      <c r="G168" s="23" t="n">
        <v>1</v>
      </c>
      <c r="H168" s="24" t="n">
        <v>310</v>
      </c>
      <c r="I168" s="24" t="n">
        <v>310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4"/>
      <c r="O168" s="22"/>
    </row>
    <row collapsed="false" customFormat="false" customHeight="false" hidden="false" ht="12.1" outlineLevel="0" r="169">
      <c r="A169" s="25" t="n">
        <v>44893.521423611</v>
      </c>
      <c r="B169" s="26" t="s">
        <v>130</v>
      </c>
      <c r="C169" s="26" t="s">
        <v>722</v>
      </c>
      <c r="D169" s="26" t="s">
        <v>588</v>
      </c>
      <c r="E169" s="26" t="s">
        <v>122</v>
      </c>
      <c r="F169" s="26" t="s">
        <v>20</v>
      </c>
      <c r="G169" s="27" t="n">
        <v>-2260</v>
      </c>
      <c r="H169" s="28" t="n">
        <v>0.8769</v>
      </c>
      <c r="I169" s="28" t="n">
        <v>1981.79</v>
      </c>
      <c r="J169" s="28" t="n">
        <v>0</v>
      </c>
      <c r="K169" s="28" t="n">
        <v>-0.59</v>
      </c>
      <c r="L169" s="28" t="n">
        <v>0</v>
      </c>
      <c r="M169" s="6" t="s">
        <f>=I169+J169+K169+L169</f>
      </c>
      <c r="N169" s="28"/>
      <c r="O169" s="26"/>
    </row>
    <row collapsed="false" customFormat="false" customHeight="false" hidden="false" ht="12.1" outlineLevel="0" r="170">
      <c r="A170" s="20" t="n">
        <v>44893.672916667</v>
      </c>
      <c r="B170" s="16" t="s">
        <v>601</v>
      </c>
      <c r="C170" s="16" t="s">
        <v>745</v>
      </c>
      <c r="D170" s="16" t="s">
        <v>587</v>
      </c>
      <c r="E170" s="16" t="s">
        <v>18</v>
      </c>
      <c r="F170" s="16" t="s">
        <v>20</v>
      </c>
      <c r="G170" s="7" t="n">
        <v>20</v>
      </c>
      <c r="H170" s="6" t="n">
        <v>132.6</v>
      </c>
      <c r="I170" s="6" t="n">
        <v>-2652</v>
      </c>
      <c r="J170" s="6" t="n">
        <v>0</v>
      </c>
      <c r="K170" s="6" t="n">
        <v>-1.33</v>
      </c>
      <c r="L170" s="6" t="n">
        <v>0</v>
      </c>
      <c r="M170" s="6" t="s">
        <f>=I170+J170+K170+L170</f>
      </c>
      <c r="N170" s="6"/>
      <c r="O170" s="16"/>
    </row>
    <row collapsed="false" customFormat="false" customHeight="false" hidden="false" ht="12.1" outlineLevel="0" r="171">
      <c r="A171" s="25" t="n">
        <v>44893.809340278</v>
      </c>
      <c r="B171" s="26" t="s">
        <v>128</v>
      </c>
      <c r="C171" s="26" t="s">
        <v>721</v>
      </c>
      <c r="D171" s="26" t="s">
        <v>588</v>
      </c>
      <c r="E171" s="26" t="s">
        <v>122</v>
      </c>
      <c r="F171" s="26" t="s">
        <v>20</v>
      </c>
      <c r="G171" s="27" t="n">
        <v>-293</v>
      </c>
      <c r="H171" s="28" t="n">
        <v>1.197</v>
      </c>
      <c r="I171" s="28" t="n">
        <v>350.72</v>
      </c>
      <c r="J171" s="28" t="n">
        <v>0</v>
      </c>
      <c r="K171" s="28" t="n">
        <v>0</v>
      </c>
      <c r="L171" s="28" t="n">
        <v>0</v>
      </c>
      <c r="M171" s="6" t="s">
        <f>=I171+J171+K171+L171</f>
      </c>
      <c r="N171" s="28"/>
      <c r="O171" s="26"/>
    </row>
    <row collapsed="false" customFormat="false" customHeight="false" hidden="false" ht="12.1" outlineLevel="0" r="172">
      <c r="A172" s="25" t="n">
        <v>44894.501168981</v>
      </c>
      <c r="B172" s="26" t="s">
        <v>601</v>
      </c>
      <c r="C172" s="26" t="s">
        <v>745</v>
      </c>
      <c r="D172" s="26" t="s">
        <v>588</v>
      </c>
      <c r="E172" s="26" t="s">
        <v>18</v>
      </c>
      <c r="F172" s="26" t="s">
        <v>20</v>
      </c>
      <c r="G172" s="27" t="n">
        <v>-10</v>
      </c>
      <c r="H172" s="28" t="n">
        <v>134</v>
      </c>
      <c r="I172" s="28" t="n">
        <v>1340</v>
      </c>
      <c r="J172" s="28" t="n">
        <v>0</v>
      </c>
      <c r="K172" s="28" t="n">
        <v>-0.67</v>
      </c>
      <c r="L172" s="28" t="n">
        <v>0</v>
      </c>
      <c r="M172" s="6" t="s">
        <f>=I172+J172+K172+L172</f>
      </c>
      <c r="N172" s="28"/>
      <c r="O172" s="26"/>
    </row>
    <row collapsed="false" customFormat="false" customHeight="false" hidden="false" ht="12.1" outlineLevel="0" r="173">
      <c r="A173" s="20" t="n">
        <v>44894.746631944</v>
      </c>
      <c r="B173" s="16" t="s">
        <v>130</v>
      </c>
      <c r="C173" s="16" t="s">
        <v>722</v>
      </c>
      <c r="D173" s="16" t="s">
        <v>587</v>
      </c>
      <c r="E173" s="16" t="s">
        <v>122</v>
      </c>
      <c r="F173" s="16" t="s">
        <v>20</v>
      </c>
      <c r="G173" s="7" t="n">
        <v>1400</v>
      </c>
      <c r="H173" s="6" t="n">
        <v>0.8821</v>
      </c>
      <c r="I173" s="6" t="n">
        <v>-1234.94</v>
      </c>
      <c r="J173" s="6" t="n">
        <v>0</v>
      </c>
      <c r="K173" s="6" t="n">
        <v>-0.37</v>
      </c>
      <c r="L173" s="6" t="n">
        <v>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5" t="n">
        <v>44895.60775463</v>
      </c>
      <c r="B174" s="26" t="s">
        <v>601</v>
      </c>
      <c r="C174" s="26" t="s">
        <v>745</v>
      </c>
      <c r="D174" s="26" t="s">
        <v>588</v>
      </c>
      <c r="E174" s="26" t="s">
        <v>18</v>
      </c>
      <c r="F174" s="26" t="s">
        <v>20</v>
      </c>
      <c r="G174" s="27" t="n">
        <v>-10</v>
      </c>
      <c r="H174" s="28" t="n">
        <v>135.3</v>
      </c>
      <c r="I174" s="28" t="n">
        <v>1353</v>
      </c>
      <c r="J174" s="28" t="n">
        <v>0</v>
      </c>
      <c r="K174" s="28" t="n">
        <v>-1.08</v>
      </c>
      <c r="L174" s="28" t="n">
        <v>0</v>
      </c>
      <c r="M174" s="6" t="s">
        <f>=I174+J174+K174+L174</f>
      </c>
      <c r="N174" s="28"/>
      <c r="O174" s="26"/>
    </row>
    <row collapsed="false" customFormat="false" customHeight="false" hidden="false" ht="12.1" outlineLevel="0" r="175">
      <c r="A175" s="20" t="n">
        <v>44895.623553241</v>
      </c>
      <c r="B175" s="16" t="s">
        <v>130</v>
      </c>
      <c r="C175" s="16" t="s">
        <v>722</v>
      </c>
      <c r="D175" s="16" t="s">
        <v>587</v>
      </c>
      <c r="E175" s="16" t="s">
        <v>122</v>
      </c>
      <c r="F175" s="16" t="s">
        <v>20</v>
      </c>
      <c r="G175" s="7" t="n">
        <v>1640</v>
      </c>
      <c r="H175" s="6" t="n">
        <v>0.88585487804878</v>
      </c>
      <c r="I175" s="6" t="n">
        <v>-1452.8</v>
      </c>
      <c r="J175" s="6" t="n">
        <v>0</v>
      </c>
      <c r="K175" s="6" t="n">
        <v>-0.43</v>
      </c>
      <c r="L175" s="6" t="n">
        <v>0</v>
      </c>
      <c r="M175" s="6" t="s">
        <f>=I175+J175+K175+L175</f>
      </c>
      <c r="N175" s="6"/>
      <c r="O175" s="16"/>
    </row>
    <row collapsed="false" customFormat="false" customHeight="false" hidden="false" ht="12.1" outlineLevel="0" r="176">
      <c r="A176" s="25" t="n">
        <v>44923.521724537</v>
      </c>
      <c r="B176" s="26" t="s">
        <v>594</v>
      </c>
      <c r="C176" s="26" t="s">
        <v>723</v>
      </c>
      <c r="D176" s="26" t="s">
        <v>588</v>
      </c>
      <c r="E176" s="26" t="s">
        <v>122</v>
      </c>
      <c r="F176" s="26" t="s">
        <v>20</v>
      </c>
      <c r="G176" s="27" t="n">
        <v>-20</v>
      </c>
      <c r="H176" s="28" t="n">
        <v>30.45</v>
      </c>
      <c r="I176" s="28" t="n">
        <v>609</v>
      </c>
      <c r="J176" s="28" t="n">
        <v>0</v>
      </c>
      <c r="K176" s="28" t="n">
        <v>-0.19</v>
      </c>
      <c r="L176" s="28" t="n">
        <v>0</v>
      </c>
      <c r="M176" s="6" t="s">
        <f>=I176+J176+K176+L176</f>
      </c>
      <c r="N176" s="28"/>
      <c r="O176" s="26"/>
    </row>
    <row collapsed="false" customFormat="false" customHeight="false" hidden="false" ht="12.1" outlineLevel="0" r="177">
      <c r="A177" s="20" t="n">
        <v>44923.714490741</v>
      </c>
      <c r="B177" s="16" t="s">
        <v>128</v>
      </c>
      <c r="C177" s="16" t="s">
        <v>721</v>
      </c>
      <c r="D177" s="16" t="s">
        <v>587</v>
      </c>
      <c r="E177" s="16" t="s">
        <v>122</v>
      </c>
      <c r="F177" s="16" t="s">
        <v>20</v>
      </c>
      <c r="G177" s="7" t="n">
        <v>300</v>
      </c>
      <c r="H177" s="6" t="n">
        <v>1.2039</v>
      </c>
      <c r="I177" s="6" t="n">
        <v>-361.17</v>
      </c>
      <c r="J177" s="6" t="n">
        <v>0</v>
      </c>
      <c r="K177" s="6" t="n">
        <v>0</v>
      </c>
      <c r="L177" s="6" t="n">
        <v>0</v>
      </c>
      <c r="M177" s="6" t="s">
        <f>=I177+J177+K177+L177</f>
      </c>
      <c r="N177" s="6"/>
      <c r="O177" s="16"/>
    </row>
    <row collapsed="false" customFormat="false" customHeight="false" hidden="false" ht="12.1" outlineLevel="0" r="178">
      <c r="A178" s="20" t="n">
        <v>44924.729479167</v>
      </c>
      <c r="B178" s="16" t="s">
        <v>128</v>
      </c>
      <c r="C178" s="16" t="s">
        <v>721</v>
      </c>
      <c r="D178" s="16" t="s">
        <v>587</v>
      </c>
      <c r="E178" s="16" t="s">
        <v>122</v>
      </c>
      <c r="F178" s="16" t="s">
        <v>20</v>
      </c>
      <c r="G178" s="7" t="n">
        <v>500</v>
      </c>
      <c r="H178" s="6" t="n">
        <v>1.2049</v>
      </c>
      <c r="I178" s="6" t="n">
        <v>-602.45</v>
      </c>
      <c r="J178" s="6" t="n">
        <v>0</v>
      </c>
      <c r="K178" s="6" t="n">
        <v>0</v>
      </c>
      <c r="L178" s="6" t="n">
        <v>0</v>
      </c>
      <c r="M178" s="6" t="s">
        <f>=I178+J178+K178+L178</f>
      </c>
      <c r="N178" s="6"/>
      <c r="O178" s="16"/>
    </row>
    <row collapsed="false" customFormat="false" customHeight="false" hidden="false" ht="12.1" outlineLevel="0" r="179">
      <c r="A179" s="25" t="n">
        <v>44930.45349537</v>
      </c>
      <c r="B179" s="26" t="s">
        <v>130</v>
      </c>
      <c r="C179" s="26" t="s">
        <v>722</v>
      </c>
      <c r="D179" s="26" t="s">
        <v>588</v>
      </c>
      <c r="E179" s="26" t="s">
        <v>122</v>
      </c>
      <c r="F179" s="26" t="s">
        <v>20</v>
      </c>
      <c r="G179" s="27" t="n">
        <v>-300</v>
      </c>
      <c r="H179" s="28" t="n">
        <v>1.0865</v>
      </c>
      <c r="I179" s="28" t="n">
        <v>325.95</v>
      </c>
      <c r="J179" s="28" t="n">
        <v>0</v>
      </c>
      <c r="K179" s="28" t="n">
        <v>-0.1</v>
      </c>
      <c r="L179" s="28" t="n">
        <v>0</v>
      </c>
      <c r="M179" s="6" t="s">
        <f>=I179+J179+K179+L179</f>
      </c>
      <c r="N179" s="28"/>
      <c r="O179" s="26"/>
    </row>
    <row collapsed="false" customFormat="false" customHeight="false" hidden="false" ht="12.1" outlineLevel="0" r="180">
      <c r="A180" s="20" t="n">
        <v>44930.453935185</v>
      </c>
      <c r="B180" s="16" t="s">
        <v>128</v>
      </c>
      <c r="C180" s="16" t="s">
        <v>721</v>
      </c>
      <c r="D180" s="16" t="s">
        <v>587</v>
      </c>
      <c r="E180" s="16" t="s">
        <v>122</v>
      </c>
      <c r="F180" s="16" t="s">
        <v>20</v>
      </c>
      <c r="G180" s="7" t="n">
        <v>400</v>
      </c>
      <c r="H180" s="6" t="n">
        <v>1.2058</v>
      </c>
      <c r="I180" s="6" t="n">
        <v>-482.32</v>
      </c>
      <c r="J180" s="6" t="n">
        <v>0</v>
      </c>
      <c r="K180" s="6" t="n">
        <v>0</v>
      </c>
      <c r="L180" s="6" t="n">
        <v>0</v>
      </c>
      <c r="M180" s="6" t="s">
        <f>=I180+J180+K180+L180</f>
      </c>
      <c r="N180" s="6"/>
      <c r="O180" s="16"/>
    </row>
    <row collapsed="false" customFormat="false" customHeight="false" hidden="false" ht="12.1" outlineLevel="0" r="181">
      <c r="A181" s="25" t="n">
        <v>44931.716076389</v>
      </c>
      <c r="B181" s="26" t="s">
        <v>128</v>
      </c>
      <c r="C181" s="26" t="s">
        <v>721</v>
      </c>
      <c r="D181" s="26" t="s">
        <v>588</v>
      </c>
      <c r="E181" s="26" t="s">
        <v>122</v>
      </c>
      <c r="F181" s="26" t="s">
        <v>20</v>
      </c>
      <c r="G181" s="27" t="n">
        <v>-17</v>
      </c>
      <c r="H181" s="28" t="n">
        <v>1.2063</v>
      </c>
      <c r="I181" s="28" t="n">
        <v>20.51</v>
      </c>
      <c r="J181" s="28" t="n">
        <v>0</v>
      </c>
      <c r="K181" s="28" t="n">
        <v>0</v>
      </c>
      <c r="L181" s="28" t="n">
        <v>0</v>
      </c>
      <c r="M181" s="6" t="s">
        <f>=I181+J181+K181+L181</f>
      </c>
      <c r="N181" s="28"/>
      <c r="O181" s="26"/>
    </row>
    <row collapsed="false" customFormat="false" customHeight="false" hidden="false" ht="12.1" outlineLevel="0" r="182">
      <c r="A182" s="20" t="n">
        <v>44937.463090278</v>
      </c>
      <c r="B182" s="16" t="s">
        <v>28</v>
      </c>
      <c r="C182" s="16" t="s">
        <v>746</v>
      </c>
      <c r="D182" s="16" t="s">
        <v>587</v>
      </c>
      <c r="E182" s="16" t="s">
        <v>18</v>
      </c>
      <c r="F182" s="16" t="s">
        <v>20</v>
      </c>
      <c r="G182" s="7" t="n">
        <v>10</v>
      </c>
      <c r="H182" s="6" t="n">
        <v>146.07</v>
      </c>
      <c r="I182" s="6" t="n">
        <v>-1460.7</v>
      </c>
      <c r="J182" s="6" t="n">
        <v>0</v>
      </c>
      <c r="K182" s="6" t="n">
        <v>-1.17</v>
      </c>
      <c r="L182" s="6" t="n">
        <v>0</v>
      </c>
      <c r="M182" s="6" t="s">
        <f>=I182+J182+K182+L182</f>
      </c>
      <c r="N182" s="6"/>
      <c r="O182" s="16"/>
    </row>
    <row collapsed="false" customFormat="false" customHeight="false" hidden="false" ht="12.1" outlineLevel="0" r="183">
      <c r="A183" s="25" t="n">
        <v>44937.464016204</v>
      </c>
      <c r="B183" s="26" t="s">
        <v>128</v>
      </c>
      <c r="C183" s="26" t="s">
        <v>721</v>
      </c>
      <c r="D183" s="26" t="s">
        <v>588</v>
      </c>
      <c r="E183" s="26" t="s">
        <v>122</v>
      </c>
      <c r="F183" s="26" t="s">
        <v>20</v>
      </c>
      <c r="G183" s="27" t="n">
        <v>-1055</v>
      </c>
      <c r="H183" s="28" t="n">
        <v>1.2073</v>
      </c>
      <c r="I183" s="28" t="n">
        <v>1273.7</v>
      </c>
      <c r="J183" s="28" t="n">
        <v>0</v>
      </c>
      <c r="K183" s="28" t="n">
        <v>0</v>
      </c>
      <c r="L183" s="28" t="n">
        <v>0</v>
      </c>
      <c r="M183" s="6" t="s">
        <f>=I183+J183+K183+L183</f>
      </c>
      <c r="N183" s="28"/>
      <c r="O183" s="26"/>
    </row>
    <row collapsed="false" customFormat="false" customHeight="false" hidden="false" ht="12.1" outlineLevel="0" r="184">
      <c r="A184" s="25" t="n">
        <v>44950.577106481</v>
      </c>
      <c r="B184" s="26" t="s">
        <v>597</v>
      </c>
      <c r="C184" s="26" t="s">
        <v>737</v>
      </c>
      <c r="D184" s="26" t="s">
        <v>588</v>
      </c>
      <c r="E184" s="26" t="s">
        <v>18</v>
      </c>
      <c r="F184" s="26" t="s">
        <v>20</v>
      </c>
      <c r="G184" s="27" t="n">
        <v>-10</v>
      </c>
      <c r="H184" s="28" t="n">
        <v>42.62</v>
      </c>
      <c r="I184" s="28" t="n">
        <v>426.2</v>
      </c>
      <c r="J184" s="28" t="n">
        <v>0</v>
      </c>
      <c r="K184" s="28" t="n">
        <v>-0.33</v>
      </c>
      <c r="L184" s="28" t="n">
        <v>0</v>
      </c>
      <c r="M184" s="6" t="s">
        <f>=I184+J184+K184+L184</f>
      </c>
      <c r="N184" s="28"/>
      <c r="O184" s="26"/>
    </row>
    <row collapsed="false" customFormat="false" customHeight="false" hidden="false" ht="12.1" outlineLevel="0" r="185">
      <c r="A185" s="20" t="n">
        <v>44950.577326389</v>
      </c>
      <c r="B185" s="16" t="s">
        <v>128</v>
      </c>
      <c r="C185" s="16" t="s">
        <v>721</v>
      </c>
      <c r="D185" s="16" t="s">
        <v>587</v>
      </c>
      <c r="E185" s="16" t="s">
        <v>122</v>
      </c>
      <c r="F185" s="16" t="s">
        <v>20</v>
      </c>
      <c r="G185" s="7" t="n">
        <v>360</v>
      </c>
      <c r="H185" s="6" t="n">
        <v>1.21</v>
      </c>
      <c r="I185" s="6" t="n">
        <v>-435.6</v>
      </c>
      <c r="J185" s="6" t="n">
        <v>0</v>
      </c>
      <c r="K185" s="6" t="n">
        <v>0</v>
      </c>
      <c r="L185" s="6" t="n">
        <v>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0" t="n">
        <v>44956.796331019</v>
      </c>
      <c r="B186" s="16" t="s">
        <v>128</v>
      </c>
      <c r="C186" s="16" t="s">
        <v>721</v>
      </c>
      <c r="D186" s="16" t="s">
        <v>587</v>
      </c>
      <c r="E186" s="16" t="s">
        <v>122</v>
      </c>
      <c r="F186" s="16" t="s">
        <v>20</v>
      </c>
      <c r="G186" s="7" t="n">
        <v>33</v>
      </c>
      <c r="H186" s="6" t="n">
        <v>1.2112</v>
      </c>
      <c r="I186" s="6" t="n">
        <v>-39.97</v>
      </c>
      <c r="J186" s="6" t="n">
        <v>0</v>
      </c>
      <c r="K186" s="6" t="n">
        <v>0</v>
      </c>
      <c r="L186" s="6" t="n">
        <v>0</v>
      </c>
      <c r="M186" s="6" t="s">
        <f>=I186+J186+K186+L186</f>
      </c>
      <c r="N186" s="6"/>
      <c r="O186" s="16"/>
    </row>
    <row collapsed="false" customFormat="false" customHeight="false" hidden="false" ht="12.1" outlineLevel="0" r="187">
      <c r="A187" s="20" t="n">
        <v>44960.551215278</v>
      </c>
      <c r="B187" s="16" t="s">
        <v>112</v>
      </c>
      <c r="C187" s="16" t="s">
        <v>716</v>
      </c>
      <c r="D187" s="16" t="s">
        <v>587</v>
      </c>
      <c r="E187" s="16" t="s">
        <v>18</v>
      </c>
      <c r="F187" s="16" t="s">
        <v>20</v>
      </c>
      <c r="G187" s="7" t="n">
        <v>2</v>
      </c>
      <c r="H187" s="6" t="n">
        <v>121.01</v>
      </c>
      <c r="I187" s="6" t="n">
        <v>-242.02</v>
      </c>
      <c r="J187" s="6" t="n">
        <v>0</v>
      </c>
      <c r="K187" s="6" t="n">
        <v>-0.19</v>
      </c>
      <c r="L187" s="6" t="n">
        <v>0</v>
      </c>
      <c r="M187" s="6" t="s">
        <f>=I187+J187+K187+L187</f>
      </c>
      <c r="N187" s="6"/>
      <c r="O187" s="16"/>
    </row>
    <row collapsed="false" customFormat="false" customHeight="false" hidden="false" ht="12.1" outlineLevel="0" r="188">
      <c r="A188" s="25" t="n">
        <v>44960.551539352</v>
      </c>
      <c r="B188" s="26" t="s">
        <v>128</v>
      </c>
      <c r="C188" s="26" t="s">
        <v>721</v>
      </c>
      <c r="D188" s="26" t="s">
        <v>588</v>
      </c>
      <c r="E188" s="26" t="s">
        <v>122</v>
      </c>
      <c r="F188" s="26" t="s">
        <v>20</v>
      </c>
      <c r="G188" s="27" t="n">
        <v>-200</v>
      </c>
      <c r="H188" s="28" t="n">
        <v>1.2125</v>
      </c>
      <c r="I188" s="28" t="n">
        <v>242.5</v>
      </c>
      <c r="J188" s="28" t="n">
        <v>0</v>
      </c>
      <c r="K188" s="28" t="n">
        <v>0</v>
      </c>
      <c r="L188" s="28" t="n">
        <v>0</v>
      </c>
      <c r="M188" s="6" t="s">
        <f>=I188+J188+K188+L188</f>
      </c>
      <c r="N188" s="28"/>
      <c r="O188" s="26"/>
    </row>
    <row collapsed="false" customFormat="false" customHeight="false" hidden="false" ht="12.1" outlineLevel="0" r="189">
      <c r="A189" s="20" t="n">
        <v>44960.555104167</v>
      </c>
      <c r="B189" s="16" t="s">
        <v>231</v>
      </c>
      <c r="C189" s="16" t="s">
        <v>747</v>
      </c>
      <c r="D189" s="16" t="s">
        <v>587</v>
      </c>
      <c r="E189" s="16" t="s">
        <v>135</v>
      </c>
      <c r="F189" s="16" t="s">
        <v>20</v>
      </c>
      <c r="G189" s="7" t="n">
        <v>1</v>
      </c>
      <c r="H189" s="6" t="n">
        <v>92.76</v>
      </c>
      <c r="I189" s="6" t="n">
        <v>-927.6</v>
      </c>
      <c r="J189" s="6" t="n">
        <v>-9.51</v>
      </c>
      <c r="K189" s="6" t="n">
        <v>-0.6</v>
      </c>
      <c r="L189" s="6" t="n">
        <v>0</v>
      </c>
      <c r="M189" s="6" t="s">
        <f>=I189+J189+K189+L189</f>
      </c>
      <c r="N189" s="6"/>
      <c r="O189" s="16"/>
    </row>
    <row collapsed="false" customFormat="false" customHeight="false" hidden="false" ht="12.1" outlineLevel="0" r="190">
      <c r="A190" s="25" t="n">
        <v>44960.777627315</v>
      </c>
      <c r="B190" s="26" t="s">
        <v>595</v>
      </c>
      <c r="C190" s="26" t="s">
        <v>724</v>
      </c>
      <c r="D190" s="26" t="s">
        <v>588</v>
      </c>
      <c r="E190" s="26" t="s">
        <v>135</v>
      </c>
      <c r="F190" s="26" t="s">
        <v>20</v>
      </c>
      <c r="G190" s="27" t="n">
        <v>-1</v>
      </c>
      <c r="H190" s="28" t="n">
        <v>98.26</v>
      </c>
      <c r="I190" s="28" t="n">
        <v>982.6</v>
      </c>
      <c r="J190" s="28" t="n">
        <v>20.42</v>
      </c>
      <c r="K190" s="28" t="n">
        <v>-0.63</v>
      </c>
      <c r="L190" s="28" t="n">
        <v>0</v>
      </c>
      <c r="M190" s="6" t="s">
        <f>=I190+J190+K190+L190</f>
      </c>
      <c r="N190" s="28"/>
      <c r="O190" s="26"/>
    </row>
    <row collapsed="false" customFormat="false" customHeight="false" hidden="false" ht="12.1" outlineLevel="0" r="191">
      <c r="A191" s="20" t="n">
        <v>44960.777893519</v>
      </c>
      <c r="B191" s="16" t="s">
        <v>128</v>
      </c>
      <c r="C191" s="16" t="s">
        <v>721</v>
      </c>
      <c r="D191" s="16" t="s">
        <v>587</v>
      </c>
      <c r="E191" s="16" t="s">
        <v>122</v>
      </c>
      <c r="F191" s="16" t="s">
        <v>20</v>
      </c>
      <c r="G191" s="7" t="n">
        <v>54</v>
      </c>
      <c r="H191" s="6" t="n">
        <v>1.2126</v>
      </c>
      <c r="I191" s="6" t="n">
        <v>-65.48</v>
      </c>
      <c r="J191" s="6" t="n">
        <v>0</v>
      </c>
      <c r="K191" s="6" t="n">
        <v>0</v>
      </c>
      <c r="L191" s="6" t="n">
        <v>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5" t="n">
        <v>45002.567592593</v>
      </c>
      <c r="B192" s="26" t="s">
        <v>28</v>
      </c>
      <c r="C192" s="26" t="s">
        <v>746</v>
      </c>
      <c r="D192" s="26" t="s">
        <v>588</v>
      </c>
      <c r="E192" s="26" t="s">
        <v>18</v>
      </c>
      <c r="F192" s="26" t="s">
        <v>20</v>
      </c>
      <c r="G192" s="27" t="n">
        <v>-10</v>
      </c>
      <c r="H192" s="28" t="n">
        <v>181.37</v>
      </c>
      <c r="I192" s="28" t="n">
        <v>1813.7</v>
      </c>
      <c r="J192" s="28" t="n">
        <v>0</v>
      </c>
      <c r="K192" s="28" t="n">
        <v>-1.45</v>
      </c>
      <c r="L192" s="28" t="n">
        <v>0</v>
      </c>
      <c r="M192" s="6" t="s">
        <f>=I192+J192+K192+L192</f>
      </c>
      <c r="N192" s="28"/>
      <c r="O192" s="26"/>
    </row>
    <row collapsed="false" customFormat="false" customHeight="false" hidden="false" ht="12.1" outlineLevel="0" r="193">
      <c r="A193" s="20" t="n">
        <v>45002.587685185</v>
      </c>
      <c r="B193" s="16" t="s">
        <v>128</v>
      </c>
      <c r="C193" s="16" t="s">
        <v>721</v>
      </c>
      <c r="D193" s="16" t="s">
        <v>587</v>
      </c>
      <c r="E193" s="16" t="s">
        <v>122</v>
      </c>
      <c r="F193" s="16" t="s">
        <v>20</v>
      </c>
      <c r="G193" s="7" t="n">
        <v>1479</v>
      </c>
      <c r="H193" s="6" t="n">
        <v>1.2219980392157</v>
      </c>
      <c r="I193" s="6" t="n">
        <v>-1807.34</v>
      </c>
      <c r="J193" s="6" t="n">
        <v>0</v>
      </c>
      <c r="K193" s="6" t="n">
        <v>0</v>
      </c>
      <c r="L193" s="6" t="n">
        <v>0</v>
      </c>
      <c r="M193" s="6" t="s">
        <f>=I193+J193+K193+L193</f>
      </c>
      <c r="N193" s="6"/>
      <c r="O193" s="16"/>
    </row>
    <row collapsed="false" customFormat="false" customHeight="false" hidden="false" ht="12.1" outlineLevel="0" r="194">
      <c r="A194" s="20" t="n">
        <v>45036.489513889</v>
      </c>
      <c r="B194" s="16" t="s">
        <v>78</v>
      </c>
      <c r="C194" s="16" t="s">
        <v>748</v>
      </c>
      <c r="D194" s="16" t="s">
        <v>587</v>
      </c>
      <c r="E194" s="16" t="s">
        <v>18</v>
      </c>
      <c r="F194" s="16" t="s">
        <v>20</v>
      </c>
      <c r="G194" s="7" t="n">
        <v>2</v>
      </c>
      <c r="H194" s="6" t="n">
        <v>605</v>
      </c>
      <c r="I194" s="6" t="n">
        <v>-1210</v>
      </c>
      <c r="J194" s="6" t="n">
        <v>0</v>
      </c>
      <c r="K194" s="6" t="n">
        <v>-0.61</v>
      </c>
      <c r="L194" s="6" t="n">
        <v>0</v>
      </c>
      <c r="M194" s="6" t="s">
        <f>=I194+J194+K194+L194</f>
      </c>
      <c r="N194" s="6"/>
      <c r="O194" s="16"/>
    </row>
    <row collapsed="false" customFormat="false" customHeight="false" hidden="false" ht="12.1" outlineLevel="0" r="195">
      <c r="A195" s="25" t="n">
        <v>45036.522083333</v>
      </c>
      <c r="B195" s="26" t="s">
        <v>128</v>
      </c>
      <c r="C195" s="26" t="s">
        <v>721</v>
      </c>
      <c r="D195" s="26" t="s">
        <v>588</v>
      </c>
      <c r="E195" s="26" t="s">
        <v>122</v>
      </c>
      <c r="F195" s="26" t="s">
        <v>20</v>
      </c>
      <c r="G195" s="27" t="n">
        <v>-1010</v>
      </c>
      <c r="H195" s="28" t="n">
        <v>1.2298</v>
      </c>
      <c r="I195" s="28" t="n">
        <v>1242.1</v>
      </c>
      <c r="J195" s="28" t="n">
        <v>0</v>
      </c>
      <c r="K195" s="28" t="n">
        <v>0</v>
      </c>
      <c r="L195" s="28" t="n">
        <v>0</v>
      </c>
      <c r="M195" s="6" t="s">
        <f>=I195+J195+K195+L195</f>
      </c>
      <c r="N195" s="28"/>
      <c r="O195" s="26"/>
    </row>
    <row collapsed="false" customFormat="false" customHeight="false" hidden="false" ht="12.1" outlineLevel="0" r="196">
      <c r="A196" s="25" t="n">
        <v>45044.685844907</v>
      </c>
      <c r="B196" s="26" t="s">
        <v>128</v>
      </c>
      <c r="C196" s="26" t="s">
        <v>721</v>
      </c>
      <c r="D196" s="26" t="s">
        <v>588</v>
      </c>
      <c r="E196" s="26" t="s">
        <v>122</v>
      </c>
      <c r="F196" s="26" t="s">
        <v>20</v>
      </c>
      <c r="G196" s="27" t="n">
        <v>-480</v>
      </c>
      <c r="H196" s="28" t="n">
        <v>1.2317</v>
      </c>
      <c r="I196" s="28" t="n">
        <v>591.22</v>
      </c>
      <c r="J196" s="28" t="n">
        <v>0</v>
      </c>
      <c r="K196" s="28" t="n">
        <v>0</v>
      </c>
      <c r="L196" s="28" t="n">
        <v>0</v>
      </c>
      <c r="M196" s="6" t="s">
        <f>=I196+J196+K196+L196</f>
      </c>
      <c r="N196" s="28"/>
      <c r="O196" s="26"/>
    </row>
    <row collapsed="false" customFormat="false" customHeight="false" hidden="false" ht="12.1" outlineLevel="0" r="197">
      <c r="A197" s="20" t="n">
        <v>45044.688506944</v>
      </c>
      <c r="B197" s="16" t="s">
        <v>78</v>
      </c>
      <c r="C197" s="16" t="s">
        <v>748</v>
      </c>
      <c r="D197" s="16" t="s">
        <v>587</v>
      </c>
      <c r="E197" s="16" t="s">
        <v>18</v>
      </c>
      <c r="F197" s="16" t="s">
        <v>20</v>
      </c>
      <c r="G197" s="7" t="n">
        <v>1</v>
      </c>
      <c r="H197" s="6" t="n">
        <v>597.5</v>
      </c>
      <c r="I197" s="6" t="n">
        <v>-597.5</v>
      </c>
      <c r="J197" s="6" t="n">
        <v>0</v>
      </c>
      <c r="K197" s="6" t="n">
        <v>-0.3</v>
      </c>
      <c r="L197" s="6" t="n">
        <v>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20" t="n">
        <v>45076.464386574</v>
      </c>
      <c r="B198" s="16" t="s">
        <v>128</v>
      </c>
      <c r="C198" s="16" t="s">
        <v>721</v>
      </c>
      <c r="D198" s="16" t="s">
        <v>587</v>
      </c>
      <c r="E198" s="16" t="s">
        <v>122</v>
      </c>
      <c r="F198" s="16" t="s">
        <v>20</v>
      </c>
      <c r="G198" s="7" t="n">
        <v>195</v>
      </c>
      <c r="H198" s="6" t="n">
        <v>1.2385</v>
      </c>
      <c r="I198" s="6" t="n">
        <v>-241.51</v>
      </c>
      <c r="J198" s="6" t="n">
        <v>0</v>
      </c>
      <c r="K198" s="6" t="n">
        <v>0</v>
      </c>
      <c r="L198" s="6" t="n">
        <v>0</v>
      </c>
      <c r="M198" s="6" t="s">
        <f>=I198+J198+K198+L198</f>
      </c>
      <c r="N198" s="6"/>
      <c r="O198" s="16"/>
    </row>
    <row collapsed="false" customFormat="false" customHeight="false" hidden="false" ht="12.1" outlineLevel="0" r="199">
      <c r="A199" s="25" t="n">
        <v>45083.419409722</v>
      </c>
      <c r="B199" s="26" t="s">
        <v>128</v>
      </c>
      <c r="C199" s="26" t="s">
        <v>721</v>
      </c>
      <c r="D199" s="26" t="s">
        <v>588</v>
      </c>
      <c r="E199" s="26" t="s">
        <v>122</v>
      </c>
      <c r="F199" s="26" t="s">
        <v>20</v>
      </c>
      <c r="G199" s="27" t="n">
        <v>-480</v>
      </c>
      <c r="H199" s="28" t="n">
        <v>1.24</v>
      </c>
      <c r="I199" s="28" t="n">
        <v>595.2</v>
      </c>
      <c r="J199" s="28" t="n">
        <v>0</v>
      </c>
      <c r="K199" s="28" t="n">
        <v>0</v>
      </c>
      <c r="L199" s="28" t="n">
        <v>0</v>
      </c>
      <c r="M199" s="6" t="s">
        <f>=I199+J199+K199+L199</f>
      </c>
      <c r="N199" s="28"/>
      <c r="O199" s="26"/>
    </row>
    <row collapsed="false" customFormat="false" customHeight="false" hidden="false" ht="12.1" outlineLevel="0" r="200">
      <c r="A200" s="20" t="n">
        <v>45083.419988426</v>
      </c>
      <c r="B200" s="16" t="s">
        <v>78</v>
      </c>
      <c r="C200" s="16" t="s">
        <v>748</v>
      </c>
      <c r="D200" s="16" t="s">
        <v>587</v>
      </c>
      <c r="E200" s="16" t="s">
        <v>18</v>
      </c>
      <c r="F200" s="16" t="s">
        <v>20</v>
      </c>
      <c r="G200" s="7" t="n">
        <v>1</v>
      </c>
      <c r="H200" s="6" t="n">
        <v>577</v>
      </c>
      <c r="I200" s="6" t="n">
        <v>-577</v>
      </c>
      <c r="J200" s="6" t="n">
        <v>0</v>
      </c>
      <c r="K200" s="6" t="n">
        <v>-0.29</v>
      </c>
      <c r="L200" s="6" t="n">
        <v>0</v>
      </c>
      <c r="M200" s="6" t="s">
        <f>=I200+J200+K200+L200</f>
      </c>
      <c r="N200" s="6"/>
      <c r="O200" s="16"/>
    </row>
    <row collapsed="false" customFormat="false" customHeight="false" hidden="false" ht="12.1" outlineLevel="0" r="201">
      <c r="A201" s="20" t="n">
        <v>45091.623796296</v>
      </c>
      <c r="B201" s="16" t="s">
        <v>128</v>
      </c>
      <c r="C201" s="16" t="s">
        <v>721</v>
      </c>
      <c r="D201" s="16" t="s">
        <v>587</v>
      </c>
      <c r="E201" s="16" t="s">
        <v>122</v>
      </c>
      <c r="F201" s="16" t="s">
        <v>20</v>
      </c>
      <c r="G201" s="7" t="n">
        <v>42</v>
      </c>
      <c r="H201" s="6" t="n">
        <v>1.2419</v>
      </c>
      <c r="I201" s="6" t="n">
        <v>-52.16</v>
      </c>
      <c r="J201" s="6" t="n">
        <v>0</v>
      </c>
      <c r="K201" s="6" t="n">
        <v>0</v>
      </c>
      <c r="L201" s="6" t="n">
        <v>0</v>
      </c>
      <c r="M201" s="6" t="s">
        <f>=I201+J201+K201+L201</f>
      </c>
      <c r="N201" s="6"/>
      <c r="O201" s="16"/>
    </row>
    <row collapsed="false" customFormat="false" customHeight="false" hidden="false" ht="12.1" outlineLevel="0" r="202">
      <c r="A202" s="20" t="n">
        <v>45092.416527778</v>
      </c>
      <c r="B202" s="16" t="s">
        <v>128</v>
      </c>
      <c r="C202" s="16" t="s">
        <v>721</v>
      </c>
      <c r="D202" s="16" t="s">
        <v>587</v>
      </c>
      <c r="E202" s="16" t="s">
        <v>122</v>
      </c>
      <c r="F202" s="16" t="s">
        <v>20</v>
      </c>
      <c r="G202" s="7" t="n">
        <v>345</v>
      </c>
      <c r="H202" s="6" t="n">
        <v>1.2426</v>
      </c>
      <c r="I202" s="6" t="n">
        <v>-428.69</v>
      </c>
      <c r="J202" s="6" t="n">
        <v>0</v>
      </c>
      <c r="K202" s="6" t="n">
        <v>0</v>
      </c>
      <c r="L202" s="6" t="n">
        <v>0</v>
      </c>
      <c r="M202" s="6" t="s">
        <f>=I202+J202+K202+L202</f>
      </c>
      <c r="N202" s="6"/>
      <c r="O202" s="16"/>
    </row>
    <row collapsed="false" customFormat="false" customHeight="false" hidden="false" ht="12.1" outlineLevel="0" r="203">
      <c r="A203" s="20" t="n">
        <v>45107.529525463</v>
      </c>
      <c r="B203" s="16" t="s">
        <v>128</v>
      </c>
      <c r="C203" s="16" t="s">
        <v>721</v>
      </c>
      <c r="D203" s="16" t="s">
        <v>587</v>
      </c>
      <c r="E203" s="16" t="s">
        <v>122</v>
      </c>
      <c r="F203" s="16" t="s">
        <v>20</v>
      </c>
      <c r="G203" s="7" t="n">
        <v>35</v>
      </c>
      <c r="H203" s="6" t="n">
        <v>1.2458</v>
      </c>
      <c r="I203" s="6" t="n">
        <v>-43.6</v>
      </c>
      <c r="J203" s="6" t="n">
        <v>0</v>
      </c>
      <c r="K203" s="6" t="n">
        <v>0</v>
      </c>
      <c r="L203" s="6" t="n">
        <v>0</v>
      </c>
      <c r="M203" s="6" t="s">
        <f>=I203+J203+K203+L203</f>
      </c>
      <c r="N203" s="6"/>
      <c r="O203" s="16"/>
    </row>
    <row collapsed="false" customFormat="false" customHeight="false" hidden="false" ht="12.1" outlineLevel="0" r="204">
      <c r="A204" s="20" t="n">
        <v>45119.744155093</v>
      </c>
      <c r="B204" s="16" t="s">
        <v>128</v>
      </c>
      <c r="C204" s="16" t="s">
        <v>721</v>
      </c>
      <c r="D204" s="16" t="s">
        <v>587</v>
      </c>
      <c r="E204" s="16" t="s">
        <v>122</v>
      </c>
      <c r="F204" s="16" t="s">
        <v>20</v>
      </c>
      <c r="G204" s="7" t="n">
        <v>55</v>
      </c>
      <c r="H204" s="6" t="n">
        <v>1.2484</v>
      </c>
      <c r="I204" s="6" t="n">
        <v>-68.66</v>
      </c>
      <c r="J204" s="6" t="n">
        <v>0</v>
      </c>
      <c r="K204" s="6" t="n">
        <v>0</v>
      </c>
      <c r="L204" s="6" t="n">
        <v>0</v>
      </c>
      <c r="M204" s="6" t="s">
        <f>=I204+J204+K204+L204</f>
      </c>
      <c r="N204" s="6"/>
      <c r="O204" s="16"/>
    </row>
    <row collapsed="false" customFormat="false" customHeight="false" hidden="false" ht="12.1" outlineLevel="0" r="205">
      <c r="A205" s="20" t="n">
        <v>45120.627604167</v>
      </c>
      <c r="B205" s="16" t="s">
        <v>90</v>
      </c>
      <c r="C205" s="16" t="s">
        <v>718</v>
      </c>
      <c r="D205" s="16" t="s">
        <v>587</v>
      </c>
      <c r="E205" s="16" t="s">
        <v>18</v>
      </c>
      <c r="F205" s="16" t="s">
        <v>20</v>
      </c>
      <c r="G205" s="7" t="n">
        <v>100</v>
      </c>
      <c r="H205" s="6" t="n">
        <v>4.1525</v>
      </c>
      <c r="I205" s="6" t="n">
        <v>-415.25</v>
      </c>
      <c r="J205" s="6" t="n">
        <v>0</v>
      </c>
      <c r="K205" s="6" t="n">
        <v>-0.33</v>
      </c>
      <c r="L205" s="6" t="n">
        <v>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5" t="n">
        <v>45120.670810185</v>
      </c>
      <c r="B206" s="26" t="s">
        <v>128</v>
      </c>
      <c r="C206" s="26" t="s">
        <v>721</v>
      </c>
      <c r="D206" s="26" t="s">
        <v>588</v>
      </c>
      <c r="E206" s="26" t="s">
        <v>122</v>
      </c>
      <c r="F206" s="26" t="s">
        <v>20</v>
      </c>
      <c r="G206" s="27" t="n">
        <v>-340</v>
      </c>
      <c r="H206" s="28" t="n">
        <v>1.2491</v>
      </c>
      <c r="I206" s="28" t="n">
        <v>424.69</v>
      </c>
      <c r="J206" s="28" t="n">
        <v>0</v>
      </c>
      <c r="K206" s="28" t="n">
        <v>0</v>
      </c>
      <c r="L206" s="28" t="n">
        <v>0</v>
      </c>
      <c r="M206" s="6" t="s">
        <f>=I206+J206+K206+L206</f>
      </c>
      <c r="N206" s="28"/>
      <c r="O206" s="26"/>
    </row>
    <row collapsed="false" customFormat="false" customHeight="false" hidden="false" ht="12.1" outlineLevel="0" r="207">
      <c r="A207" s="20" t="n">
        <v>45121.587743056</v>
      </c>
      <c r="B207" s="16" t="s">
        <v>128</v>
      </c>
      <c r="C207" s="16" t="s">
        <v>721</v>
      </c>
      <c r="D207" s="16" t="s">
        <v>587</v>
      </c>
      <c r="E207" s="16" t="s">
        <v>122</v>
      </c>
      <c r="F207" s="16" t="s">
        <v>20</v>
      </c>
      <c r="G207" s="7" t="n">
        <v>35</v>
      </c>
      <c r="H207" s="6" t="n">
        <v>1.2493</v>
      </c>
      <c r="I207" s="6" t="n">
        <v>-43.73</v>
      </c>
      <c r="J207" s="6" t="n">
        <v>0</v>
      </c>
      <c r="K207" s="6" t="n">
        <v>0</v>
      </c>
      <c r="L207" s="6" t="n">
        <v>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20" t="n">
        <v>45133.794976852</v>
      </c>
      <c r="B208" s="16" t="s">
        <v>128</v>
      </c>
      <c r="C208" s="16" t="s">
        <v>721</v>
      </c>
      <c r="D208" s="16" t="s">
        <v>587</v>
      </c>
      <c r="E208" s="16" t="s">
        <v>122</v>
      </c>
      <c r="F208" s="16" t="s">
        <v>20</v>
      </c>
      <c r="G208" s="7" t="n">
        <v>25</v>
      </c>
      <c r="H208" s="6" t="n">
        <v>1.2521</v>
      </c>
      <c r="I208" s="6" t="n">
        <v>-31.3</v>
      </c>
      <c r="J208" s="6" t="n">
        <v>0</v>
      </c>
      <c r="K208" s="6" t="n">
        <v>0</v>
      </c>
      <c r="L208" s="6" t="n">
        <v>0</v>
      </c>
      <c r="M208" s="6" t="s">
        <f>=I208+J208+K208+L208</f>
      </c>
      <c r="N208" s="6"/>
      <c r="O208" s="16"/>
    </row>
    <row collapsed="false" customFormat="false" customHeight="false" hidden="false" ht="12.1" outlineLevel="0" r="209">
      <c r="A209" s="20" t="n">
        <v>45141.617349537</v>
      </c>
      <c r="B209" s="16" t="s">
        <v>128</v>
      </c>
      <c r="C209" s="16" t="s">
        <v>721</v>
      </c>
      <c r="D209" s="16" t="s">
        <v>587</v>
      </c>
      <c r="E209" s="16" t="s">
        <v>122</v>
      </c>
      <c r="F209" s="16" t="s">
        <v>20</v>
      </c>
      <c r="G209" s="7" t="n">
        <v>65</v>
      </c>
      <c r="H209" s="6" t="n">
        <v>1.2538</v>
      </c>
      <c r="I209" s="6" t="n">
        <v>-81.5</v>
      </c>
      <c r="J209" s="6" t="n">
        <v>0</v>
      </c>
      <c r="K209" s="6" t="n">
        <v>0</v>
      </c>
      <c r="L209" s="6" t="n">
        <v>0</v>
      </c>
      <c r="M209" s="6" t="s">
        <f>=I209+J209+K209+L209</f>
      </c>
      <c r="N209" s="6"/>
      <c r="O209" s="16"/>
    </row>
    <row collapsed="false" customFormat="false" customHeight="false" hidden="false" ht="12.1" outlineLevel="0" r="210">
      <c r="A210" s="20" t="n">
        <v>45142.626759259</v>
      </c>
      <c r="B210" s="16" t="s">
        <v>128</v>
      </c>
      <c r="C210" s="16" t="s">
        <v>721</v>
      </c>
      <c r="D210" s="16" t="s">
        <v>587</v>
      </c>
      <c r="E210" s="16" t="s">
        <v>122</v>
      </c>
      <c r="F210" s="16" t="s">
        <v>20</v>
      </c>
      <c r="G210" s="7" t="n">
        <v>56</v>
      </c>
      <c r="H210" s="6" t="n">
        <v>1.2546</v>
      </c>
      <c r="I210" s="6" t="n">
        <v>-70.26</v>
      </c>
      <c r="J210" s="6" t="n">
        <v>0</v>
      </c>
      <c r="K210" s="6" t="n">
        <v>0</v>
      </c>
      <c r="L210" s="6" t="n">
        <v>0</v>
      </c>
      <c r="M210" s="6" t="s">
        <f>=I210+J210+K210+L210</f>
      </c>
      <c r="N210" s="6"/>
      <c r="O210" s="16"/>
    </row>
    <row collapsed="false" customFormat="false" customHeight="false" hidden="false" ht="12.1" outlineLevel="0" r="211">
      <c r="A211" s="20" t="n">
        <v>45196.647777778</v>
      </c>
      <c r="B211" s="16" t="s">
        <v>17</v>
      </c>
      <c r="C211" s="16" t="s">
        <v>711</v>
      </c>
      <c r="D211" s="16" t="s">
        <v>587</v>
      </c>
      <c r="E211" s="16" t="s">
        <v>18</v>
      </c>
      <c r="F211" s="16" t="s">
        <v>20</v>
      </c>
      <c r="G211" s="7" t="n">
        <v>1</v>
      </c>
      <c r="H211" s="6" t="n">
        <v>529.45</v>
      </c>
      <c r="I211" s="6" t="n">
        <v>-529.45</v>
      </c>
      <c r="J211" s="6" t="n">
        <v>0</v>
      </c>
      <c r="K211" s="6" t="n">
        <v>-0.42</v>
      </c>
      <c r="L211" s="6" t="n">
        <v>0</v>
      </c>
      <c r="M211" s="6" t="s">
        <f>=I211+J211+K211+L211</f>
      </c>
      <c r="N211" s="6"/>
      <c r="O211" s="16"/>
    </row>
    <row collapsed="false" customFormat="false" customHeight="false" hidden="false" ht="12.1" outlineLevel="0" r="212">
      <c r="A212" s="25" t="n">
        <v>45196.648159722</v>
      </c>
      <c r="B212" s="26" t="s">
        <v>128</v>
      </c>
      <c r="C212" s="26" t="s">
        <v>721</v>
      </c>
      <c r="D212" s="26" t="s">
        <v>588</v>
      </c>
      <c r="E212" s="26" t="s">
        <v>122</v>
      </c>
      <c r="F212" s="26" t="s">
        <v>20</v>
      </c>
      <c r="G212" s="27" t="n">
        <v>-370</v>
      </c>
      <c r="H212" s="28" t="n">
        <v>1.2743</v>
      </c>
      <c r="I212" s="28" t="n">
        <v>471.49</v>
      </c>
      <c r="J212" s="28" t="n">
        <v>0</v>
      </c>
      <c r="K212" s="28" t="n">
        <v>0</v>
      </c>
      <c r="L212" s="28" t="n">
        <v>0</v>
      </c>
      <c r="M212" s="6" t="s">
        <f>=I212+J212+K212+L212</f>
      </c>
      <c r="N212" s="28"/>
      <c r="O212" s="26"/>
    </row>
    <row collapsed="false" customFormat="false" customHeight="false" hidden="false" ht="12.1" outlineLevel="0" r="213">
      <c r="A213" s="21" t="n">
        <v>45265</v>
      </c>
      <c r="B213" s="22" t="s">
        <v>710</v>
      </c>
      <c r="C213" s="22" t="s">
        <v>255</v>
      </c>
      <c r="D213" s="22" t="s">
        <v>710</v>
      </c>
      <c r="E213" s="22" t="s">
        <v>710</v>
      </c>
      <c r="F213" s="22" t="s">
        <v>20</v>
      </c>
      <c r="G213" s="23" t="n">
        <v>1</v>
      </c>
      <c r="H213" s="24" t="n">
        <v>14898.95</v>
      </c>
      <c r="I213" s="24" t="n">
        <v>14898.95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4"/>
      <c r="O213" s="22"/>
    </row>
    <row collapsed="false" customFormat="false" customHeight="false" hidden="false" ht="12.1" outlineLevel="0" r="214">
      <c r="A214" s="20" t="n">
        <v>45265.816770833</v>
      </c>
      <c r="B214" s="16" t="s">
        <v>128</v>
      </c>
      <c r="C214" s="16" t="s">
        <v>721</v>
      </c>
      <c r="D214" s="16" t="s">
        <v>587</v>
      </c>
      <c r="E214" s="16" t="s">
        <v>122</v>
      </c>
      <c r="F214" s="16" t="s">
        <v>20</v>
      </c>
      <c r="G214" s="7" t="n">
        <v>11000</v>
      </c>
      <c r="H214" s="6" t="n">
        <v>1.3069</v>
      </c>
      <c r="I214" s="6" t="n">
        <v>-14375.9</v>
      </c>
      <c r="J214" s="6" t="n">
        <v>0</v>
      </c>
      <c r="K214" s="6" t="n">
        <v>0</v>
      </c>
      <c r="L214" s="6" t="n">
        <v>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0" t="n">
        <v>45266.449722222</v>
      </c>
      <c r="B215" s="16" t="s">
        <v>128</v>
      </c>
      <c r="C215" s="16" t="s">
        <v>721</v>
      </c>
      <c r="D215" s="16" t="s">
        <v>587</v>
      </c>
      <c r="E215" s="16" t="s">
        <v>122</v>
      </c>
      <c r="F215" s="16" t="s">
        <v>20</v>
      </c>
      <c r="G215" s="7" t="n">
        <v>390</v>
      </c>
      <c r="H215" s="6" t="n">
        <v>1.3074</v>
      </c>
      <c r="I215" s="6" t="n">
        <v>-509.89</v>
      </c>
      <c r="J215" s="6" t="n">
        <v>0</v>
      </c>
      <c r="K215" s="6" t="n">
        <v>0</v>
      </c>
      <c r="L215" s="6" t="n">
        <v>0</v>
      </c>
      <c r="M215" s="6" t="s">
        <f>=I215+J215+K215+L215</f>
      </c>
      <c r="N215" s="6"/>
      <c r="O215" s="16"/>
    </row>
    <row collapsed="false" customFormat="false" customHeight="false" hidden="false" ht="12.1" outlineLevel="0" r="216">
      <c r="A216" s="21" t="n">
        <v>45267</v>
      </c>
      <c r="B216" s="22" t="s">
        <v>710</v>
      </c>
      <c r="C216" s="22" t="s">
        <v>255</v>
      </c>
      <c r="D216" s="22" t="s">
        <v>710</v>
      </c>
      <c r="E216" s="22" t="s">
        <v>710</v>
      </c>
      <c r="F216" s="22" t="s">
        <v>20</v>
      </c>
      <c r="G216" s="23" t="n">
        <v>1</v>
      </c>
      <c r="H216" s="24" t="n">
        <v>35</v>
      </c>
      <c r="I216" s="24" t="n">
        <v>35</v>
      </c>
      <c r="J216" s="24" t="n">
        <v>0</v>
      </c>
      <c r="K216" s="24" t="n">
        <v>0</v>
      </c>
      <c r="L216" s="24" t="n">
        <v>0</v>
      </c>
      <c r="M216" s="6" t="s">
        <f>=I216+J216+K216+L216</f>
      </c>
      <c r="N216" s="24"/>
      <c r="O216" s="22"/>
    </row>
    <row collapsed="false" customFormat="false" customHeight="false" hidden="false" ht="12.1" outlineLevel="0" r="217">
      <c r="A217" s="20" t="n">
        <v>45267.706238426</v>
      </c>
      <c r="B217" s="16" t="s">
        <v>128</v>
      </c>
      <c r="C217" s="16" t="s">
        <v>721</v>
      </c>
      <c r="D217" s="16" t="s">
        <v>587</v>
      </c>
      <c r="E217" s="16" t="s">
        <v>122</v>
      </c>
      <c r="F217" s="16" t="s">
        <v>20</v>
      </c>
      <c r="G217" s="7" t="n">
        <v>35</v>
      </c>
      <c r="H217" s="6" t="n">
        <v>1.3079</v>
      </c>
      <c r="I217" s="6" t="n">
        <v>-45.78</v>
      </c>
      <c r="J217" s="6" t="n">
        <v>0</v>
      </c>
      <c r="K217" s="6" t="n">
        <v>0</v>
      </c>
      <c r="L217" s="6" t="n">
        <v>0</v>
      </c>
      <c r="M217" s="6" t="s">
        <f>=I217+J217+K217+L217</f>
      </c>
      <c r="N217" s="6"/>
      <c r="O217" s="16"/>
    </row>
    <row collapsed="false" customFormat="false" customHeight="false" hidden="false" ht="12.1" outlineLevel="0" r="218">
      <c r="A218" s="21" t="n">
        <v>45271</v>
      </c>
      <c r="B218" s="22" t="s">
        <v>710</v>
      </c>
      <c r="C218" s="22" t="s">
        <v>255</v>
      </c>
      <c r="D218" s="22" t="s">
        <v>710</v>
      </c>
      <c r="E218" s="22" t="s">
        <v>710</v>
      </c>
      <c r="F218" s="22" t="s">
        <v>20</v>
      </c>
      <c r="G218" s="23" t="n">
        <v>2</v>
      </c>
      <c r="H218" s="24" t="n">
        <v>1115.46</v>
      </c>
      <c r="I218" s="24" t="n">
        <v>2230.92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4"/>
      <c r="O218" s="22"/>
    </row>
    <row collapsed="false" customFormat="false" customHeight="false" hidden="false" ht="12.1" outlineLevel="0" r="219">
      <c r="A219" s="20" t="n">
        <v>45271.450775463</v>
      </c>
      <c r="B219" s="16" t="s">
        <v>128</v>
      </c>
      <c r="C219" s="16" t="s">
        <v>721</v>
      </c>
      <c r="D219" s="16" t="s">
        <v>587</v>
      </c>
      <c r="E219" s="16" t="s">
        <v>122</v>
      </c>
      <c r="F219" s="16" t="s">
        <v>20</v>
      </c>
      <c r="G219" s="7" t="n">
        <v>1670</v>
      </c>
      <c r="H219" s="6" t="n">
        <v>1.3101</v>
      </c>
      <c r="I219" s="6" t="n">
        <v>-2187.87</v>
      </c>
      <c r="J219" s="6" t="n">
        <v>0</v>
      </c>
      <c r="K219" s="6" t="n">
        <v>0</v>
      </c>
      <c r="L219" s="6" t="n">
        <v>0</v>
      </c>
      <c r="M219" s="6" t="s">
        <f>=I219+J219+K219+L219</f>
      </c>
      <c r="N219" s="6"/>
      <c r="O219" s="16"/>
    </row>
    <row collapsed="false" customFormat="false" customHeight="false" hidden="false" ht="12.1" outlineLevel="0" r="220">
      <c r="A220" s="21" t="n">
        <v>45272</v>
      </c>
      <c r="B220" s="22" t="s">
        <v>710</v>
      </c>
      <c r="C220" s="22" t="s">
        <v>255</v>
      </c>
      <c r="D220" s="22" t="s">
        <v>710</v>
      </c>
      <c r="E220" s="22" t="s">
        <v>710</v>
      </c>
      <c r="F220" s="22" t="s">
        <v>20</v>
      </c>
      <c r="G220" s="23" t="n">
        <v>2</v>
      </c>
      <c r="H220" s="24" t="n">
        <v>25750</v>
      </c>
      <c r="I220" s="24" t="n">
        <v>51500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4"/>
      <c r="O220" s="22"/>
    </row>
    <row collapsed="false" customFormat="false" customHeight="false" hidden="false" ht="12.1" outlineLevel="0" r="221">
      <c r="A221" s="20" t="n">
        <v>45272.6525</v>
      </c>
      <c r="B221" s="16" t="s">
        <v>88</v>
      </c>
      <c r="C221" s="16" t="s">
        <v>749</v>
      </c>
      <c r="D221" s="16" t="s">
        <v>587</v>
      </c>
      <c r="E221" s="16" t="s">
        <v>18</v>
      </c>
      <c r="F221" s="16" t="s">
        <v>20</v>
      </c>
      <c r="G221" s="7" t="n">
        <v>20</v>
      </c>
      <c r="H221" s="6" t="n">
        <v>70.12</v>
      </c>
      <c r="I221" s="6" t="n">
        <v>-1402.4</v>
      </c>
      <c r="J221" s="6" t="n">
        <v>0</v>
      </c>
      <c r="K221" s="6" t="n">
        <v>-1.12</v>
      </c>
      <c r="L221" s="6" t="n">
        <v>0</v>
      </c>
      <c r="M221" s="6" t="s">
        <f>=I221+J221+K221+L221</f>
      </c>
      <c r="N221" s="6"/>
      <c r="O221" s="16"/>
    </row>
    <row collapsed="false" customFormat="false" customHeight="false" hidden="false" ht="12.1" outlineLevel="0" r="222">
      <c r="A222" s="20" t="n">
        <v>45272.65400463</v>
      </c>
      <c r="B222" s="16" t="s">
        <v>130</v>
      </c>
      <c r="C222" s="16" t="s">
        <v>722</v>
      </c>
      <c r="D222" s="16" t="s">
        <v>587</v>
      </c>
      <c r="E222" s="16" t="s">
        <v>122</v>
      </c>
      <c r="F222" s="16" t="s">
        <v>20</v>
      </c>
      <c r="G222" s="7" t="n">
        <v>4000</v>
      </c>
      <c r="H222" s="6" t="n">
        <v>1.473</v>
      </c>
      <c r="I222" s="6" t="n">
        <v>-5892</v>
      </c>
      <c r="J222" s="6" t="n">
        <v>0</v>
      </c>
      <c r="K222" s="6" t="n">
        <v>-1.77</v>
      </c>
      <c r="L222" s="6" t="n">
        <v>0</v>
      </c>
      <c r="M222" s="6" t="s">
        <f>=I222+J222+K222+L222</f>
      </c>
      <c r="N222" s="6"/>
      <c r="O222" s="16"/>
    </row>
    <row collapsed="false" customFormat="false" customHeight="false" hidden="false" ht="12.1" outlineLevel="0" r="223">
      <c r="A223" s="20" t="n">
        <v>45272.656550926</v>
      </c>
      <c r="B223" s="16" t="s">
        <v>750</v>
      </c>
      <c r="C223" s="16" t="s">
        <v>751</v>
      </c>
      <c r="D223" s="16" t="s">
        <v>587</v>
      </c>
      <c r="E223" s="16" t="s">
        <v>752</v>
      </c>
      <c r="F223" s="16" t="s">
        <v>20</v>
      </c>
      <c r="G223" s="7" t="n">
        <v>1000</v>
      </c>
      <c r="H223" s="6" t="n">
        <v>12.5295</v>
      </c>
      <c r="I223" s="6" t="n">
        <v>-12529.5</v>
      </c>
      <c r="J223" s="6" t="n">
        <v>0</v>
      </c>
      <c r="K223" s="6" t="n">
        <v>-56.26</v>
      </c>
      <c r="L223" s="6" t="n">
        <v>0</v>
      </c>
      <c r="M223" s="6" t="s">
        <f>=I223+J223+K223+L223</f>
      </c>
      <c r="N223" s="6"/>
      <c r="O223" s="16"/>
    </row>
    <row collapsed="false" customFormat="false" customHeight="false" hidden="false" ht="12.1" outlineLevel="0" r="224">
      <c r="A224" s="20" t="n">
        <v>45272.657303241</v>
      </c>
      <c r="B224" s="16" t="s">
        <v>128</v>
      </c>
      <c r="C224" s="16" t="s">
        <v>721</v>
      </c>
      <c r="D224" s="16" t="s">
        <v>587</v>
      </c>
      <c r="E224" s="16" t="s">
        <v>122</v>
      </c>
      <c r="F224" s="16" t="s">
        <v>20</v>
      </c>
      <c r="G224" s="7" t="n">
        <v>23000</v>
      </c>
      <c r="H224" s="6" t="n">
        <v>1.3105</v>
      </c>
      <c r="I224" s="6" t="n">
        <v>-30141.5</v>
      </c>
      <c r="J224" s="6" t="n">
        <v>0</v>
      </c>
      <c r="K224" s="6" t="n">
        <v>0</v>
      </c>
      <c r="L224" s="6" t="n">
        <v>0</v>
      </c>
      <c r="M224" s="6" t="s">
        <f>=I224+J224+K224+L224</f>
      </c>
      <c r="N224" s="6"/>
      <c r="O224" s="16"/>
    </row>
    <row collapsed="false" customFormat="false" customHeight="false" hidden="false" ht="12.1" outlineLevel="0" r="225">
      <c r="A225" s="21" t="n">
        <v>45273</v>
      </c>
      <c r="B225" s="22" t="s">
        <v>710</v>
      </c>
      <c r="C225" s="22" t="s">
        <v>255</v>
      </c>
      <c r="D225" s="22" t="s">
        <v>710</v>
      </c>
      <c r="E225" s="22" t="s">
        <v>710</v>
      </c>
      <c r="F225" s="22" t="s">
        <v>20</v>
      </c>
      <c r="G225" s="23" t="n">
        <v>1</v>
      </c>
      <c r="H225" s="24" t="n">
        <v>48580</v>
      </c>
      <c r="I225" s="24" t="n">
        <v>48580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4"/>
      <c r="O225" s="22"/>
    </row>
    <row collapsed="false" customFormat="false" customHeight="false" hidden="false" ht="12.1" outlineLevel="0" r="226">
      <c r="A226" s="20" t="n">
        <v>45273.496111111</v>
      </c>
      <c r="B226" s="16" t="s">
        <v>219</v>
      </c>
      <c r="C226" s="16" t="s">
        <v>753</v>
      </c>
      <c r="D226" s="16" t="s">
        <v>587</v>
      </c>
      <c r="E226" s="16" t="s">
        <v>135</v>
      </c>
      <c r="F226" s="16" t="s">
        <v>20</v>
      </c>
      <c r="G226" s="7" t="n">
        <v>5</v>
      </c>
      <c r="H226" s="6" t="n">
        <v>96.17</v>
      </c>
      <c r="I226" s="6" t="n">
        <v>-4808.5</v>
      </c>
      <c r="J226" s="6" t="n">
        <v>-61.35</v>
      </c>
      <c r="K226" s="6" t="n">
        <v>-3</v>
      </c>
      <c r="L226" s="6" t="n">
        <v>0</v>
      </c>
      <c r="M226" s="6" t="s">
        <f>=I226+J226+K226+L226</f>
      </c>
      <c r="N226" s="6"/>
      <c r="O226" s="16"/>
    </row>
    <row collapsed="false" customFormat="false" customHeight="false" hidden="false" ht="12.1" outlineLevel="0" r="227">
      <c r="A227" s="20" t="n">
        <v>45273.511180556</v>
      </c>
      <c r="B227" s="16" t="s">
        <v>225</v>
      </c>
      <c r="C227" s="16" t="s">
        <v>754</v>
      </c>
      <c r="D227" s="16" t="s">
        <v>587</v>
      </c>
      <c r="E227" s="16" t="s">
        <v>135</v>
      </c>
      <c r="F227" s="16" t="s">
        <v>20</v>
      </c>
      <c r="G227" s="7" t="n">
        <v>2</v>
      </c>
      <c r="H227" s="6" t="n">
        <v>98.43</v>
      </c>
      <c r="I227" s="6" t="n">
        <v>-1968.6</v>
      </c>
      <c r="J227" s="6" t="n">
        <v>-15.96</v>
      </c>
      <c r="K227" s="6" t="n">
        <v>-1.22</v>
      </c>
      <c r="L227" s="6" t="n">
        <v>0</v>
      </c>
      <c r="M227" s="6" t="s">
        <f>=I227+J227+K227+L227</f>
      </c>
      <c r="N227" s="6"/>
      <c r="O227" s="16"/>
    </row>
    <row collapsed="false" customFormat="false" customHeight="false" hidden="false" ht="12.1" outlineLevel="0" r="228">
      <c r="A228" s="20" t="n">
        <v>45273.514328704</v>
      </c>
      <c r="B228" s="16" t="s">
        <v>177</v>
      </c>
      <c r="C228" s="16" t="s">
        <v>755</v>
      </c>
      <c r="D228" s="16" t="s">
        <v>587</v>
      </c>
      <c r="E228" s="16" t="s">
        <v>135</v>
      </c>
      <c r="F228" s="16" t="s">
        <v>20</v>
      </c>
      <c r="G228" s="7" t="n">
        <v>1</v>
      </c>
      <c r="H228" s="6" t="n">
        <v>95.47</v>
      </c>
      <c r="I228" s="6" t="n">
        <v>-954.7</v>
      </c>
      <c r="J228" s="6" t="n">
        <v>-2.63</v>
      </c>
      <c r="K228" s="6" t="n">
        <v>-0.6</v>
      </c>
      <c r="L228" s="6" t="n">
        <v>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0" t="n">
        <v>45273.516180556</v>
      </c>
      <c r="B229" s="16" t="s">
        <v>128</v>
      </c>
      <c r="C229" s="16" t="s">
        <v>721</v>
      </c>
      <c r="D229" s="16" t="s">
        <v>587</v>
      </c>
      <c r="E229" s="16" t="s">
        <v>122</v>
      </c>
      <c r="F229" s="16" t="s">
        <v>20</v>
      </c>
      <c r="G229" s="7" t="n">
        <v>31000</v>
      </c>
      <c r="H229" s="6" t="n">
        <v>1.311</v>
      </c>
      <c r="I229" s="6" t="n">
        <v>-40641</v>
      </c>
      <c r="J229" s="6" t="n">
        <v>0</v>
      </c>
      <c r="K229" s="6" t="n">
        <v>0</v>
      </c>
      <c r="L229" s="6" t="n">
        <v>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1" t="n">
        <v>45274</v>
      </c>
      <c r="B230" s="22" t="s">
        <v>710</v>
      </c>
      <c r="C230" s="22" t="s">
        <v>255</v>
      </c>
      <c r="D230" s="22" t="s">
        <v>710</v>
      </c>
      <c r="E230" s="22" t="s">
        <v>710</v>
      </c>
      <c r="F230" s="22" t="s">
        <v>20</v>
      </c>
      <c r="G230" s="23" t="n">
        <v>1</v>
      </c>
      <c r="H230" s="24" t="n">
        <v>78000</v>
      </c>
      <c r="I230" s="24" t="n">
        <v>78000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4"/>
      <c r="O230" s="22"/>
    </row>
    <row collapsed="false" customFormat="false" customHeight="false" hidden="false" ht="12.1" outlineLevel="0" r="231">
      <c r="A231" s="20" t="n">
        <v>45274.437650463</v>
      </c>
      <c r="B231" s="16" t="s">
        <v>128</v>
      </c>
      <c r="C231" s="16" t="s">
        <v>721</v>
      </c>
      <c r="D231" s="16" t="s">
        <v>587</v>
      </c>
      <c r="E231" s="16" t="s">
        <v>122</v>
      </c>
      <c r="F231" s="16" t="s">
        <v>20</v>
      </c>
      <c r="G231" s="7" t="n">
        <v>60248</v>
      </c>
      <c r="H231" s="6" t="n">
        <v>1.3109082857522</v>
      </c>
      <c r="I231" s="6" t="n">
        <v>-78979.6</v>
      </c>
      <c r="J231" s="6" t="n">
        <v>0</v>
      </c>
      <c r="K231" s="6" t="n">
        <v>0</v>
      </c>
      <c r="L231" s="6" t="n">
        <v>0</v>
      </c>
      <c r="M231" s="6" t="s">
        <f>=I231+J231+K231+L231</f>
      </c>
      <c r="N231" s="6"/>
      <c r="O231" s="16"/>
    </row>
    <row collapsed="false" customFormat="false" customHeight="false" hidden="false" ht="12.1" outlineLevel="0" r="232">
      <c r="A232" s="21" t="n">
        <v>45275</v>
      </c>
      <c r="B232" s="22" t="s">
        <v>710</v>
      </c>
      <c r="C232" s="22" t="s">
        <v>255</v>
      </c>
      <c r="D232" s="22" t="s">
        <v>710</v>
      </c>
      <c r="E232" s="22" t="s">
        <v>710</v>
      </c>
      <c r="F232" s="22" t="s">
        <v>20</v>
      </c>
      <c r="G232" s="23" t="n">
        <v>1</v>
      </c>
      <c r="H232" s="24" t="n">
        <v>63266.1</v>
      </c>
      <c r="I232" s="24" t="n">
        <v>63266.1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4"/>
      <c r="O232" s="22"/>
    </row>
    <row collapsed="false" customFormat="false" customHeight="false" hidden="false" ht="12.1" outlineLevel="0" r="233">
      <c r="A233" s="20" t="n">
        <v>45275.649375</v>
      </c>
      <c r="B233" s="16" t="s">
        <v>128</v>
      </c>
      <c r="C233" s="16" t="s">
        <v>721</v>
      </c>
      <c r="D233" s="16" t="s">
        <v>587</v>
      </c>
      <c r="E233" s="16" t="s">
        <v>122</v>
      </c>
      <c r="F233" s="16" t="s">
        <v>20</v>
      </c>
      <c r="G233" s="7" t="n">
        <v>48500</v>
      </c>
      <c r="H233" s="6" t="n">
        <v>1.3131175257732</v>
      </c>
      <c r="I233" s="6" t="n">
        <v>-63686.2</v>
      </c>
      <c r="J233" s="6" t="n">
        <v>0</v>
      </c>
      <c r="K233" s="6" t="n">
        <v>0</v>
      </c>
      <c r="L233" s="6" t="n">
        <v>0</v>
      </c>
      <c r="M233" s="6" t="s">
        <f>=I233+J233+K233+L233</f>
      </c>
      <c r="N233" s="6"/>
      <c r="O233" s="16"/>
    </row>
    <row collapsed="false" customFormat="false" customHeight="false" hidden="false" ht="12.1" outlineLevel="0" r="234">
      <c r="A234" s="20" t="n">
        <v>45278.43806713</v>
      </c>
      <c r="B234" s="16" t="s">
        <v>128</v>
      </c>
      <c r="C234" s="16" t="s">
        <v>721</v>
      </c>
      <c r="D234" s="16" t="s">
        <v>587</v>
      </c>
      <c r="E234" s="16" t="s">
        <v>122</v>
      </c>
      <c r="F234" s="16" t="s">
        <v>20</v>
      </c>
      <c r="G234" s="7" t="n">
        <v>180</v>
      </c>
      <c r="H234" s="6" t="n">
        <v>1.3135</v>
      </c>
      <c r="I234" s="6" t="n">
        <v>-236.43</v>
      </c>
      <c r="J234" s="6" t="n">
        <v>0</v>
      </c>
      <c r="K234" s="6" t="n">
        <v>0</v>
      </c>
      <c r="L234" s="6" t="n">
        <v>0</v>
      </c>
      <c r="M234" s="6" t="s">
        <f>=I234+J234+K234+L234</f>
      </c>
      <c r="N234" s="6"/>
      <c r="O234" s="16"/>
    </row>
    <row collapsed="false" customFormat="false" customHeight="false" hidden="false" ht="12.1" outlineLevel="0" r="235">
      <c r="A235" s="21" t="n">
        <v>45279</v>
      </c>
      <c r="B235" s="22" t="s">
        <v>710</v>
      </c>
      <c r="C235" s="22" t="s">
        <v>255</v>
      </c>
      <c r="D235" s="22" t="s">
        <v>710</v>
      </c>
      <c r="E235" s="22" t="s">
        <v>710</v>
      </c>
      <c r="F235" s="22" t="s">
        <v>20</v>
      </c>
      <c r="G235" s="23" t="n">
        <v>1</v>
      </c>
      <c r="H235" s="24" t="n">
        <v>239</v>
      </c>
      <c r="I235" s="24" t="n">
        <v>239</v>
      </c>
      <c r="J235" s="24" t="n">
        <v>0</v>
      </c>
      <c r="K235" s="24" t="n">
        <v>0</v>
      </c>
      <c r="L235" s="24" t="n">
        <v>0</v>
      </c>
      <c r="M235" s="6" t="s">
        <f>=I235+J235+K235+L235</f>
      </c>
      <c r="N235" s="24"/>
      <c r="O235" s="22"/>
    </row>
    <row collapsed="false" customFormat="false" customHeight="false" hidden="false" ht="12.1" outlineLevel="0" r="236">
      <c r="A236" s="20" t="n">
        <v>45279.658460648</v>
      </c>
      <c r="B236" s="16" t="s">
        <v>128</v>
      </c>
      <c r="C236" s="16" t="s">
        <v>721</v>
      </c>
      <c r="D236" s="16" t="s">
        <v>587</v>
      </c>
      <c r="E236" s="16" t="s">
        <v>122</v>
      </c>
      <c r="F236" s="16" t="s">
        <v>20</v>
      </c>
      <c r="G236" s="7" t="n">
        <v>180</v>
      </c>
      <c r="H236" s="6" t="n">
        <v>1.3143</v>
      </c>
      <c r="I236" s="6" t="n">
        <v>-236.57</v>
      </c>
      <c r="J236" s="6" t="n">
        <v>0</v>
      </c>
      <c r="K236" s="6" t="n">
        <v>0</v>
      </c>
      <c r="L236" s="6" t="n">
        <v>0</v>
      </c>
      <c r="M236" s="6" t="s">
        <f>=I236+J236+K236+L236</f>
      </c>
      <c r="N236" s="6"/>
      <c r="O236" s="16"/>
    </row>
    <row collapsed="false" customFormat="false" customHeight="false" hidden="false" ht="12.1" outlineLevel="0" r="237">
      <c r="A237" s="21" t="n">
        <v>45280</v>
      </c>
      <c r="B237" s="22" t="s">
        <v>710</v>
      </c>
      <c r="C237" s="22" t="s">
        <v>255</v>
      </c>
      <c r="D237" s="22" t="s">
        <v>710</v>
      </c>
      <c r="E237" s="22" t="s">
        <v>710</v>
      </c>
      <c r="F237" s="22" t="s">
        <v>20</v>
      </c>
      <c r="G237" s="23" t="n">
        <v>1</v>
      </c>
      <c r="H237" s="24" t="n">
        <v>3274</v>
      </c>
      <c r="I237" s="24" t="n">
        <v>3274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4"/>
      <c r="O237" s="22"/>
    </row>
    <row collapsed="false" customFormat="false" customHeight="false" hidden="false" ht="12.1" outlineLevel="0" r="238">
      <c r="A238" s="20" t="n">
        <v>45280.564398148</v>
      </c>
      <c r="B238" s="16" t="s">
        <v>147</v>
      </c>
      <c r="C238" s="16" t="s">
        <v>756</v>
      </c>
      <c r="D238" s="16" t="s">
        <v>587</v>
      </c>
      <c r="E238" s="16" t="s">
        <v>135</v>
      </c>
      <c r="F238" s="16" t="s">
        <v>20</v>
      </c>
      <c r="G238" s="7" t="n">
        <v>3</v>
      </c>
      <c r="H238" s="6" t="n">
        <v>97.53</v>
      </c>
      <c r="I238" s="6" t="n">
        <v>-2925.9</v>
      </c>
      <c r="J238" s="6" t="n">
        <v>-23.46</v>
      </c>
      <c r="K238" s="6" t="n">
        <v>-1.71</v>
      </c>
      <c r="L238" s="6" t="n">
        <v>0</v>
      </c>
      <c r="M238" s="6" t="s">
        <f>=I238+J238+K238+L238</f>
      </c>
      <c r="N238" s="6"/>
      <c r="O238" s="16"/>
    </row>
    <row collapsed="false" customFormat="false" customHeight="false" hidden="false" ht="12.1" outlineLevel="0" r="239">
      <c r="A239" s="20" t="n">
        <v>45280.56556713</v>
      </c>
      <c r="B239" s="16" t="s">
        <v>128</v>
      </c>
      <c r="C239" s="16" t="s">
        <v>721</v>
      </c>
      <c r="D239" s="16" t="s">
        <v>587</v>
      </c>
      <c r="E239" s="16" t="s">
        <v>122</v>
      </c>
      <c r="F239" s="16" t="s">
        <v>20</v>
      </c>
      <c r="G239" s="7" t="n">
        <v>250</v>
      </c>
      <c r="H239" s="6" t="n">
        <v>1.3148</v>
      </c>
      <c r="I239" s="6" t="n">
        <v>-328.7</v>
      </c>
      <c r="J239" s="6" t="n">
        <v>0</v>
      </c>
      <c r="K239" s="6" t="n">
        <v>0</v>
      </c>
      <c r="L239" s="6" t="n">
        <v>0</v>
      </c>
      <c r="M239" s="6" t="s">
        <f>=I239+J239+K239+L239</f>
      </c>
      <c r="N239" s="6"/>
      <c r="O239" s="16"/>
    </row>
    <row collapsed="false" customFormat="false" customHeight="false" hidden="false" ht="12.1" outlineLevel="0" r="240">
      <c r="A240" s="21" t="n">
        <v>45286</v>
      </c>
      <c r="B240" s="22" t="s">
        <v>710</v>
      </c>
      <c r="C240" s="22" t="s">
        <v>255</v>
      </c>
      <c r="D240" s="22" t="s">
        <v>710</v>
      </c>
      <c r="E240" s="22" t="s">
        <v>710</v>
      </c>
      <c r="F240" s="22" t="s">
        <v>20</v>
      </c>
      <c r="G240" s="23" t="n">
        <v>2</v>
      </c>
      <c r="H240" s="24" t="n">
        <v>787.41</v>
      </c>
      <c r="I240" s="24" t="n">
        <v>1574.82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4"/>
      <c r="O240" s="22"/>
    </row>
    <row collapsed="false" customFormat="false" customHeight="false" hidden="false" ht="12.1" outlineLevel="0" r="241">
      <c r="A241" s="20" t="n">
        <v>45286.859479167</v>
      </c>
      <c r="B241" s="16" t="s">
        <v>128</v>
      </c>
      <c r="C241" s="16" t="s">
        <v>721</v>
      </c>
      <c r="D241" s="16" t="s">
        <v>587</v>
      </c>
      <c r="E241" s="16" t="s">
        <v>122</v>
      </c>
      <c r="F241" s="16" t="s">
        <v>20</v>
      </c>
      <c r="G241" s="7" t="n">
        <v>1190</v>
      </c>
      <c r="H241" s="6" t="n">
        <v>1.3181</v>
      </c>
      <c r="I241" s="6" t="n">
        <v>-1568.54</v>
      </c>
      <c r="J241" s="6" t="n">
        <v>0</v>
      </c>
      <c r="K241" s="6" t="n">
        <v>0</v>
      </c>
      <c r="L241" s="6" t="n">
        <v>0</v>
      </c>
      <c r="M241" s="6" t="s">
        <f>=I241+J241+K241+L241</f>
      </c>
      <c r="N241" s="6"/>
      <c r="O241" s="16"/>
    </row>
    <row collapsed="false" customFormat="false" customHeight="false" hidden="false" ht="12.1" outlineLevel="0" r="242">
      <c r="A242" s="21" t="n">
        <v>45287</v>
      </c>
      <c r="B242" s="22" t="s">
        <v>710</v>
      </c>
      <c r="C242" s="22" t="s">
        <v>255</v>
      </c>
      <c r="D242" s="22" t="s">
        <v>710</v>
      </c>
      <c r="E242" s="22" t="s">
        <v>710</v>
      </c>
      <c r="F242" s="22" t="s">
        <v>20</v>
      </c>
      <c r="G242" s="23" t="n">
        <v>1</v>
      </c>
      <c r="H242" s="24" t="n">
        <v>17707.2</v>
      </c>
      <c r="I242" s="24" t="n">
        <v>17707.2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4"/>
      <c r="O242" s="22"/>
    </row>
    <row collapsed="false" customFormat="false" customHeight="false" hidden="false" ht="12.1" outlineLevel="0" r="243">
      <c r="A243" s="20" t="n">
        <v>45287.596354167</v>
      </c>
      <c r="B243" s="16" t="s">
        <v>602</v>
      </c>
      <c r="C243" s="16" t="s">
        <v>757</v>
      </c>
      <c r="D243" s="16" t="s">
        <v>587</v>
      </c>
      <c r="E243" s="16" t="s">
        <v>135</v>
      </c>
      <c r="F243" s="16" t="s">
        <v>20</v>
      </c>
      <c r="G243" s="7" t="n">
        <v>3</v>
      </c>
      <c r="H243" s="6" t="n">
        <v>100.5</v>
      </c>
      <c r="I243" s="6" t="n">
        <v>-3015</v>
      </c>
      <c r="J243" s="6" t="n">
        <v>-17.37</v>
      </c>
      <c r="K243" s="6" t="n">
        <v>-1.77</v>
      </c>
      <c r="L243" s="6" t="n">
        <v>0</v>
      </c>
      <c r="M243" s="6" t="s">
        <f>=I243+J243+K243+L243</f>
      </c>
      <c r="N243" s="6"/>
      <c r="O243" s="16"/>
    </row>
    <row collapsed="false" customFormat="false" customHeight="false" hidden="false" ht="12.1" outlineLevel="0" r="244">
      <c r="A244" s="20" t="n">
        <v>45287.597905093</v>
      </c>
      <c r="B244" s="16" t="s">
        <v>603</v>
      </c>
      <c r="C244" s="16" t="s">
        <v>758</v>
      </c>
      <c r="D244" s="16" t="s">
        <v>587</v>
      </c>
      <c r="E244" s="16" t="s">
        <v>135</v>
      </c>
      <c r="F244" s="16" t="s">
        <v>20</v>
      </c>
      <c r="G244" s="7" t="n">
        <v>2</v>
      </c>
      <c r="H244" s="6" t="n">
        <v>98.29</v>
      </c>
      <c r="I244" s="6" t="n">
        <v>-1965.8</v>
      </c>
      <c r="J244" s="6" t="n">
        <v>-1.4</v>
      </c>
      <c r="K244" s="6" t="n">
        <v>-1.15</v>
      </c>
      <c r="L244" s="6" t="n">
        <v>0</v>
      </c>
      <c r="M244" s="6" t="s">
        <f>=I244+J244+K244+L244</f>
      </c>
      <c r="N244" s="6"/>
      <c r="O244" s="16"/>
    </row>
    <row collapsed="false" customFormat="false" customHeight="false" hidden="false" ht="12.1" outlineLevel="0" r="245">
      <c r="A245" s="20" t="n">
        <v>45287.599351852</v>
      </c>
      <c r="B245" s="16" t="s">
        <v>604</v>
      </c>
      <c r="C245" s="16" t="s">
        <v>759</v>
      </c>
      <c r="D245" s="16" t="s">
        <v>587</v>
      </c>
      <c r="E245" s="16" t="s">
        <v>135</v>
      </c>
      <c r="F245" s="16" t="s">
        <v>20</v>
      </c>
      <c r="G245" s="7" t="n">
        <v>2</v>
      </c>
      <c r="H245" s="6" t="n">
        <v>96.69</v>
      </c>
      <c r="I245" s="6" t="n">
        <v>-1933.8</v>
      </c>
      <c r="J245" s="6" t="n">
        <v>-62.14</v>
      </c>
      <c r="K245" s="6" t="n">
        <v>-1.12</v>
      </c>
      <c r="L245" s="6" t="n">
        <v>0</v>
      </c>
      <c r="M245" s="6" t="s">
        <f>=I245+J245+K245+L245</f>
      </c>
      <c r="N245" s="6"/>
      <c r="O245" s="16"/>
    </row>
    <row collapsed="false" customFormat="false" customHeight="false" hidden="false" ht="12.1" outlineLevel="0" r="246">
      <c r="A246" s="20" t="n">
        <v>45287.603854167</v>
      </c>
      <c r="B246" s="16" t="s">
        <v>605</v>
      </c>
      <c r="C246" s="16" t="s">
        <v>760</v>
      </c>
      <c r="D246" s="16" t="s">
        <v>587</v>
      </c>
      <c r="E246" s="16" t="s">
        <v>135</v>
      </c>
      <c r="F246" s="16" t="s">
        <v>20</v>
      </c>
      <c r="G246" s="7" t="n">
        <v>2</v>
      </c>
      <c r="H246" s="6" t="n">
        <v>100.62</v>
      </c>
      <c r="I246" s="6" t="n">
        <v>-2012.4</v>
      </c>
      <c r="J246" s="6" t="n">
        <v>-77.92</v>
      </c>
      <c r="K246" s="6" t="n">
        <v>-1.18</v>
      </c>
      <c r="L246" s="6" t="n">
        <v>0</v>
      </c>
      <c r="M246" s="6" t="s">
        <f>=I246+J246+K246+L246</f>
      </c>
      <c r="N246" s="6"/>
      <c r="O246" s="16"/>
    </row>
    <row collapsed="false" customFormat="false" customHeight="false" hidden="false" ht="12.1" outlineLevel="0" r="247">
      <c r="A247" s="20" t="n">
        <v>45287.606064815</v>
      </c>
      <c r="B247" s="16" t="s">
        <v>63</v>
      </c>
      <c r="C247" s="16" t="s">
        <v>761</v>
      </c>
      <c r="D247" s="16" t="s">
        <v>587</v>
      </c>
      <c r="E247" s="16" t="s">
        <v>18</v>
      </c>
      <c r="F247" s="16" t="s">
        <v>20</v>
      </c>
      <c r="G247" s="7" t="n">
        <v>2</v>
      </c>
      <c r="H247" s="6" t="n">
        <v>680</v>
      </c>
      <c r="I247" s="6" t="n">
        <v>-1360</v>
      </c>
      <c r="J247" s="6" t="n">
        <v>0</v>
      </c>
      <c r="K247" s="6" t="n">
        <v>-1.08</v>
      </c>
      <c r="L247" s="6" t="n">
        <v>0</v>
      </c>
      <c r="M247" s="6" t="s">
        <f>=I247+J247+K247+L247</f>
      </c>
      <c r="N247" s="6"/>
      <c r="O247" s="16"/>
    </row>
    <row collapsed="false" customFormat="false" customHeight="false" hidden="false" ht="12.1" outlineLevel="0" r="248">
      <c r="A248" s="20" t="n">
        <v>45287.606782407</v>
      </c>
      <c r="B248" s="16" t="s">
        <v>128</v>
      </c>
      <c r="C248" s="16" t="s">
        <v>721</v>
      </c>
      <c r="D248" s="16" t="s">
        <v>587</v>
      </c>
      <c r="E248" s="16" t="s">
        <v>122</v>
      </c>
      <c r="F248" s="16" t="s">
        <v>20</v>
      </c>
      <c r="G248" s="7" t="n">
        <v>5505</v>
      </c>
      <c r="H248" s="6" t="n">
        <v>1.3187</v>
      </c>
      <c r="I248" s="6" t="n">
        <v>-7259.44</v>
      </c>
      <c r="J248" s="6" t="n">
        <v>0</v>
      </c>
      <c r="K248" s="6" t="n">
        <v>0</v>
      </c>
      <c r="L248" s="6" t="n">
        <v>0</v>
      </c>
      <c r="M248" s="6" t="s">
        <f>=I248+J248+K248+L248</f>
      </c>
      <c r="N248" s="6"/>
      <c r="O248" s="16"/>
    </row>
    <row collapsed="false" customFormat="false" customHeight="false" hidden="false" ht="12.1" outlineLevel="0" r="249">
      <c r="A249" s="21" t="n">
        <v>45288</v>
      </c>
      <c r="B249" s="22" t="s">
        <v>710</v>
      </c>
      <c r="C249" s="22" t="s">
        <v>255</v>
      </c>
      <c r="D249" s="22" t="s">
        <v>710</v>
      </c>
      <c r="E249" s="22" t="s">
        <v>710</v>
      </c>
      <c r="F249" s="22" t="s">
        <v>20</v>
      </c>
      <c r="G249" s="23" t="n">
        <v>2</v>
      </c>
      <c r="H249" s="24" t="n">
        <v>59347</v>
      </c>
      <c r="I249" s="24" t="n">
        <v>118694</v>
      </c>
      <c r="J249" s="24" t="n">
        <v>0</v>
      </c>
      <c r="K249" s="24" t="n">
        <v>0</v>
      </c>
      <c r="L249" s="24" t="n">
        <v>0</v>
      </c>
      <c r="M249" s="6" t="s">
        <f>=I249+J249+K249+L249</f>
      </c>
      <c r="N249" s="24"/>
      <c r="O249" s="22"/>
    </row>
    <row collapsed="false" customFormat="false" customHeight="false" hidden="false" ht="12.1" outlineLevel="0" r="250">
      <c r="A250" s="20" t="n">
        <v>45288.767511574</v>
      </c>
      <c r="B250" s="16" t="s">
        <v>750</v>
      </c>
      <c r="C250" s="16" t="s">
        <v>751</v>
      </c>
      <c r="D250" s="16" t="s">
        <v>587</v>
      </c>
      <c r="E250" s="16" t="s">
        <v>752</v>
      </c>
      <c r="F250" s="16" t="s">
        <v>20</v>
      </c>
      <c r="G250" s="7" t="n">
        <v>1000</v>
      </c>
      <c r="H250" s="6" t="n">
        <v>12.634</v>
      </c>
      <c r="I250" s="6" t="n">
        <v>-12634</v>
      </c>
      <c r="J250" s="6" t="n">
        <v>0</v>
      </c>
      <c r="K250" s="6" t="n">
        <v>-56.32</v>
      </c>
      <c r="L250" s="6" t="n">
        <v>0</v>
      </c>
      <c r="M250" s="6" t="s">
        <f>=I250+J250+K250+L250</f>
      </c>
      <c r="N250" s="6"/>
      <c r="O250" s="16"/>
    </row>
    <row collapsed="false" customFormat="false" customHeight="false" hidden="false" ht="12.1" outlineLevel="0" r="251">
      <c r="A251" s="20" t="n">
        <v>45288.768287037</v>
      </c>
      <c r="B251" s="16" t="s">
        <v>128</v>
      </c>
      <c r="C251" s="16" t="s">
        <v>721</v>
      </c>
      <c r="D251" s="16" t="s">
        <v>587</v>
      </c>
      <c r="E251" s="16" t="s">
        <v>122</v>
      </c>
      <c r="F251" s="16" t="s">
        <v>20</v>
      </c>
      <c r="G251" s="7" t="n">
        <v>80270</v>
      </c>
      <c r="H251" s="6" t="n">
        <v>1.3201</v>
      </c>
      <c r="I251" s="6" t="n">
        <v>-105964.43</v>
      </c>
      <c r="J251" s="6" t="n">
        <v>0</v>
      </c>
      <c r="K251" s="6" t="n">
        <v>-14.6</v>
      </c>
      <c r="L251" s="6" t="n">
        <v>0</v>
      </c>
      <c r="M251" s="6" t="s">
        <f>=I251+J251+K251+L251</f>
      </c>
      <c r="N251" s="6"/>
      <c r="O251" s="16"/>
    </row>
    <row collapsed="false" customFormat="false" customHeight="false" hidden="false" ht="12.1" outlineLevel="0" r="252">
      <c r="A252" s="20" t="n">
        <v>45303.765335648</v>
      </c>
      <c r="B252" s="16" t="s">
        <v>128</v>
      </c>
      <c r="C252" s="16" t="s">
        <v>721</v>
      </c>
      <c r="D252" s="16" t="s">
        <v>587</v>
      </c>
      <c r="E252" s="16" t="s">
        <v>122</v>
      </c>
      <c r="F252" s="16" t="s">
        <v>20</v>
      </c>
      <c r="G252" s="7" t="n">
        <v>130</v>
      </c>
      <c r="H252" s="6" t="n">
        <v>1.3282</v>
      </c>
      <c r="I252" s="6" t="n">
        <v>-172.67</v>
      </c>
      <c r="J252" s="6" t="n">
        <v>0</v>
      </c>
      <c r="K252" s="6" t="n">
        <v>0</v>
      </c>
      <c r="L252" s="6" t="n">
        <v>0</v>
      </c>
      <c r="M252" s="6" t="s">
        <f>=I252+J252+K252+L252</f>
      </c>
      <c r="N252" s="6"/>
      <c r="O252" s="16"/>
    </row>
    <row collapsed="false" customFormat="false" customHeight="false" hidden="false" ht="12.1" outlineLevel="0" r="253">
      <c r="A253" s="20" t="n">
        <v>45307.51</v>
      </c>
      <c r="B253" s="16" t="s">
        <v>606</v>
      </c>
      <c r="C253" s="16" t="s">
        <v>762</v>
      </c>
      <c r="D253" s="16" t="s">
        <v>587</v>
      </c>
      <c r="E253" s="16" t="s">
        <v>135</v>
      </c>
      <c r="F253" s="16" t="s">
        <v>20</v>
      </c>
      <c r="G253" s="7" t="n">
        <v>3</v>
      </c>
      <c r="H253" s="6" t="n">
        <v>95.22</v>
      </c>
      <c r="I253" s="6" t="n">
        <v>-2856.6</v>
      </c>
      <c r="J253" s="6" t="n">
        <v>-81.93</v>
      </c>
      <c r="K253" s="6" t="n">
        <v>-1.79</v>
      </c>
      <c r="L253" s="6" t="n">
        <v>0</v>
      </c>
      <c r="M253" s="6" t="s">
        <f>=I253+J253+K253+L253</f>
      </c>
      <c r="N253" s="6"/>
      <c r="O253" s="16"/>
    </row>
    <row collapsed="false" customFormat="false" customHeight="false" hidden="false" ht="12.1" outlineLevel="0" r="254">
      <c r="A254" s="20" t="n">
        <v>45307.51212963</v>
      </c>
      <c r="B254" s="16" t="s">
        <v>607</v>
      </c>
      <c r="C254" s="16" t="s">
        <v>763</v>
      </c>
      <c r="D254" s="16" t="s">
        <v>587</v>
      </c>
      <c r="E254" s="16" t="s">
        <v>135</v>
      </c>
      <c r="F254" s="16" t="s">
        <v>20</v>
      </c>
      <c r="G254" s="7" t="n">
        <v>2</v>
      </c>
      <c r="H254" s="6" t="n">
        <v>94.63</v>
      </c>
      <c r="I254" s="6" t="n">
        <v>-1892.6</v>
      </c>
      <c r="J254" s="6" t="n">
        <v>-66.9</v>
      </c>
      <c r="K254" s="6" t="n">
        <v>-1.19</v>
      </c>
      <c r="L254" s="6" t="n">
        <v>0</v>
      </c>
      <c r="M254" s="6" t="s">
        <f>=I254+J254+K254+L254</f>
      </c>
      <c r="N254" s="6"/>
      <c r="O254" s="16"/>
    </row>
    <row collapsed="false" customFormat="false" customHeight="false" hidden="false" ht="12.1" outlineLevel="0" r="255">
      <c r="A255" s="20" t="n">
        <v>45307.514108796</v>
      </c>
      <c r="B255" s="16" t="s">
        <v>198</v>
      </c>
      <c r="C255" s="16" t="s">
        <v>764</v>
      </c>
      <c r="D255" s="16" t="s">
        <v>587</v>
      </c>
      <c r="E255" s="16" t="s">
        <v>135</v>
      </c>
      <c r="F255" s="16" t="s">
        <v>20</v>
      </c>
      <c r="G255" s="7" t="n">
        <v>5</v>
      </c>
      <c r="H255" s="6" t="n">
        <v>92</v>
      </c>
      <c r="I255" s="6" t="n">
        <v>-4600</v>
      </c>
      <c r="J255" s="6" t="n">
        <v>-51.35</v>
      </c>
      <c r="K255" s="6" t="n">
        <v>-2.87</v>
      </c>
      <c r="L255" s="6" t="n">
        <v>0</v>
      </c>
      <c r="M255" s="6" t="s">
        <f>=I255+J255+K255+L255</f>
      </c>
      <c r="N255" s="6"/>
      <c r="O255" s="16"/>
    </row>
    <row collapsed="false" customFormat="false" customHeight="false" hidden="false" ht="12.1" outlineLevel="0" r="256">
      <c r="A256" s="20" t="n">
        <v>45307.528842593</v>
      </c>
      <c r="B256" s="16" t="s">
        <v>210</v>
      </c>
      <c r="C256" s="16" t="s">
        <v>765</v>
      </c>
      <c r="D256" s="16" t="s">
        <v>587</v>
      </c>
      <c r="E256" s="16" t="s">
        <v>135</v>
      </c>
      <c r="F256" s="16" t="s">
        <v>20</v>
      </c>
      <c r="G256" s="7" t="n">
        <v>2</v>
      </c>
      <c r="H256" s="6" t="n">
        <v>95.04</v>
      </c>
      <c r="I256" s="6" t="n">
        <v>-1900.8</v>
      </c>
      <c r="J256" s="6" t="n">
        <v>-8.4</v>
      </c>
      <c r="K256" s="6" t="n">
        <v>-1.19</v>
      </c>
      <c r="L256" s="6" t="n">
        <v>0</v>
      </c>
      <c r="M256" s="6" t="s">
        <f>=I256+J256+K256+L256</f>
      </c>
      <c r="N256" s="6"/>
      <c r="O256" s="16"/>
    </row>
    <row collapsed="false" customFormat="false" customHeight="false" hidden="false" ht="12.1" outlineLevel="0" r="257">
      <c r="A257" s="20" t="n">
        <v>45307.529259259</v>
      </c>
      <c r="B257" s="16" t="s">
        <v>222</v>
      </c>
      <c r="C257" s="16" t="s">
        <v>766</v>
      </c>
      <c r="D257" s="16" t="s">
        <v>587</v>
      </c>
      <c r="E257" s="16" t="s">
        <v>135</v>
      </c>
      <c r="F257" s="16" t="s">
        <v>20</v>
      </c>
      <c r="G257" s="7" t="n">
        <v>2</v>
      </c>
      <c r="H257" s="6" t="n">
        <v>99.12</v>
      </c>
      <c r="I257" s="6" t="n">
        <v>-1982.4</v>
      </c>
      <c r="J257" s="6" t="n">
        <v>-110.78</v>
      </c>
      <c r="K257" s="6" t="n">
        <v>-1.24</v>
      </c>
      <c r="L257" s="6" t="n">
        <v>0</v>
      </c>
      <c r="M257" s="6" t="s">
        <f>=I257+J257+K257+L257</f>
      </c>
      <c r="N257" s="6"/>
      <c r="O257" s="16"/>
    </row>
    <row collapsed="false" customFormat="false" customHeight="false" hidden="false" ht="12.1" outlineLevel="0" r="258">
      <c r="A258" s="20" t="n">
        <v>45307.530520833</v>
      </c>
      <c r="B258" s="16" t="s">
        <v>156</v>
      </c>
      <c r="C258" s="16" t="s">
        <v>767</v>
      </c>
      <c r="D258" s="16" t="s">
        <v>587</v>
      </c>
      <c r="E258" s="16" t="s">
        <v>135</v>
      </c>
      <c r="F258" s="16" t="s">
        <v>20</v>
      </c>
      <c r="G258" s="7" t="n">
        <v>5</v>
      </c>
      <c r="H258" s="6" t="n">
        <v>81.251</v>
      </c>
      <c r="I258" s="6" t="n">
        <v>-4062.55</v>
      </c>
      <c r="J258" s="6" t="n">
        <v>-109.25</v>
      </c>
      <c r="K258" s="6" t="n">
        <v>-2.54</v>
      </c>
      <c r="L258" s="6" t="n">
        <v>0</v>
      </c>
      <c r="M258" s="6" t="s">
        <f>=I258+J258+K258+L258</f>
      </c>
      <c r="N258" s="6"/>
      <c r="O258" s="16"/>
    </row>
    <row collapsed="false" customFormat="false" customHeight="false" hidden="false" ht="12.1" outlineLevel="0" r="259">
      <c r="A259" s="20" t="n">
        <v>45307.531435185</v>
      </c>
      <c r="B259" s="16" t="s">
        <v>608</v>
      </c>
      <c r="C259" s="16" t="s">
        <v>768</v>
      </c>
      <c r="D259" s="16" t="s">
        <v>587</v>
      </c>
      <c r="E259" s="16" t="s">
        <v>135</v>
      </c>
      <c r="F259" s="16" t="s">
        <v>20</v>
      </c>
      <c r="G259" s="7" t="n">
        <v>2</v>
      </c>
      <c r="H259" s="6" t="n">
        <v>100.33</v>
      </c>
      <c r="I259" s="6" t="n">
        <v>-2006.6</v>
      </c>
      <c r="J259" s="6" t="n">
        <v>-59.34</v>
      </c>
      <c r="K259" s="6" t="n">
        <v>-1.24</v>
      </c>
      <c r="L259" s="6" t="n">
        <v>0</v>
      </c>
      <c r="M259" s="6" t="s">
        <f>=I259+J259+K259+L259</f>
      </c>
      <c r="N259" s="6"/>
      <c r="O259" s="16"/>
    </row>
    <row collapsed="false" customFormat="false" customHeight="false" hidden="false" ht="12.1" outlineLevel="0" r="260">
      <c r="A260" s="20" t="n">
        <v>45307.532141204</v>
      </c>
      <c r="B260" s="16" t="s">
        <v>192</v>
      </c>
      <c r="C260" s="16" t="s">
        <v>769</v>
      </c>
      <c r="D260" s="16" t="s">
        <v>587</v>
      </c>
      <c r="E260" s="16" t="s">
        <v>135</v>
      </c>
      <c r="F260" s="16" t="s">
        <v>20</v>
      </c>
      <c r="G260" s="7" t="n">
        <v>2</v>
      </c>
      <c r="H260" s="6" t="n">
        <v>97.95</v>
      </c>
      <c r="I260" s="6" t="n">
        <v>-1959</v>
      </c>
      <c r="J260" s="6" t="n">
        <v>-42.04</v>
      </c>
      <c r="K260" s="6" t="n">
        <v>-1.22</v>
      </c>
      <c r="L260" s="6" t="n">
        <v>0</v>
      </c>
      <c r="M260" s="6" t="s">
        <f>=I260+J260+K260+L260</f>
      </c>
      <c r="N260" s="6"/>
      <c r="O260" s="16"/>
    </row>
    <row collapsed="false" customFormat="false" customHeight="false" hidden="false" ht="12.1" outlineLevel="0" r="261">
      <c r="A261" s="25" t="n">
        <v>45307.542418981</v>
      </c>
      <c r="B261" s="26" t="s">
        <v>128</v>
      </c>
      <c r="C261" s="26" t="s">
        <v>721</v>
      </c>
      <c r="D261" s="26" t="s">
        <v>588</v>
      </c>
      <c r="E261" s="26" t="s">
        <v>122</v>
      </c>
      <c r="F261" s="26" t="s">
        <v>20</v>
      </c>
      <c r="G261" s="27" t="n">
        <v>-16370</v>
      </c>
      <c r="H261" s="28" t="n">
        <v>1.3293930360415</v>
      </c>
      <c r="I261" s="28" t="n">
        <v>21762.16</v>
      </c>
      <c r="J261" s="28" t="n">
        <v>0</v>
      </c>
      <c r="K261" s="28" t="n">
        <v>0</v>
      </c>
      <c r="L261" s="28" t="n">
        <v>0</v>
      </c>
      <c r="M261" s="6" t="s">
        <f>=I261+J261+K261+L261</f>
      </c>
      <c r="N261" s="28"/>
      <c r="O261" s="26"/>
    </row>
    <row collapsed="false" customFormat="false" customHeight="false" hidden="false" ht="12.1" outlineLevel="0" r="262">
      <c r="A262" s="20" t="n">
        <v>45308.587094907</v>
      </c>
      <c r="B262" s="16" t="s">
        <v>213</v>
      </c>
      <c r="C262" s="16" t="s">
        <v>770</v>
      </c>
      <c r="D262" s="16" t="s">
        <v>587</v>
      </c>
      <c r="E262" s="16" t="s">
        <v>135</v>
      </c>
      <c r="F262" s="16" t="s">
        <v>20</v>
      </c>
      <c r="G262" s="7" t="n">
        <v>5</v>
      </c>
      <c r="H262" s="6" t="n">
        <v>101.7</v>
      </c>
      <c r="I262" s="6" t="n">
        <v>-5085</v>
      </c>
      <c r="J262" s="6" t="n">
        <v>-6.6</v>
      </c>
      <c r="K262" s="6" t="n">
        <v>-3.18</v>
      </c>
      <c r="L262" s="6" t="n">
        <v>0</v>
      </c>
      <c r="M262" s="6" t="s">
        <f>=I262+J262+K262+L262</f>
      </c>
      <c r="N262" s="6"/>
      <c r="O262" s="16"/>
    </row>
    <row collapsed="false" customFormat="false" customHeight="false" hidden="false" ht="12.1" outlineLevel="0" r="263">
      <c r="A263" s="25" t="n">
        <v>45308.9321875</v>
      </c>
      <c r="B263" s="26" t="s">
        <v>128</v>
      </c>
      <c r="C263" s="26" t="s">
        <v>721</v>
      </c>
      <c r="D263" s="26" t="s">
        <v>588</v>
      </c>
      <c r="E263" s="26" t="s">
        <v>122</v>
      </c>
      <c r="F263" s="26" t="s">
        <v>20</v>
      </c>
      <c r="G263" s="27" t="n">
        <v>-3850</v>
      </c>
      <c r="H263" s="28" t="n">
        <v>1.3293</v>
      </c>
      <c r="I263" s="28" t="n">
        <v>5117.81</v>
      </c>
      <c r="J263" s="28" t="n">
        <v>0</v>
      </c>
      <c r="K263" s="28" t="n">
        <v>0</v>
      </c>
      <c r="L263" s="28" t="n">
        <v>0</v>
      </c>
      <c r="M263" s="6" t="s">
        <f>=I263+J263+K263+L263</f>
      </c>
      <c r="N263" s="28"/>
      <c r="O263" s="26"/>
    </row>
    <row collapsed="false" customFormat="false" customHeight="false" hidden="false" ht="12.1" outlineLevel="0" r="264">
      <c r="A264" s="20" t="n">
        <v>45315.682106481</v>
      </c>
      <c r="B264" s="16" t="s">
        <v>128</v>
      </c>
      <c r="C264" s="16" t="s">
        <v>721</v>
      </c>
      <c r="D264" s="16" t="s">
        <v>587</v>
      </c>
      <c r="E264" s="16" t="s">
        <v>122</v>
      </c>
      <c r="F264" s="16" t="s">
        <v>20</v>
      </c>
      <c r="G264" s="7" t="n">
        <v>20</v>
      </c>
      <c r="H264" s="6" t="n">
        <v>1.3341</v>
      </c>
      <c r="I264" s="6" t="n">
        <v>-26.68</v>
      </c>
      <c r="J264" s="6" t="n">
        <v>0</v>
      </c>
      <c r="K264" s="6" t="n">
        <v>0</v>
      </c>
      <c r="L264" s="6" t="n">
        <v>0</v>
      </c>
      <c r="M264" s="6" t="s">
        <f>=I264+J264+K264+L264</f>
      </c>
      <c r="N264" s="6"/>
      <c r="O264" s="16"/>
    </row>
    <row collapsed="false" customFormat="false" customHeight="false" hidden="false" ht="12.1" outlineLevel="0" r="265">
      <c r="A265" s="20" t="n">
        <v>45316.678599537</v>
      </c>
      <c r="B265" s="16" t="s">
        <v>128</v>
      </c>
      <c r="C265" s="16" t="s">
        <v>721</v>
      </c>
      <c r="D265" s="16" t="s">
        <v>587</v>
      </c>
      <c r="E265" s="16" t="s">
        <v>122</v>
      </c>
      <c r="F265" s="16" t="s">
        <v>20</v>
      </c>
      <c r="G265" s="7" t="n">
        <v>68</v>
      </c>
      <c r="H265" s="6" t="n">
        <v>1.3347</v>
      </c>
      <c r="I265" s="6" t="n">
        <v>-90.76</v>
      </c>
      <c r="J265" s="6" t="n">
        <v>0</v>
      </c>
      <c r="K265" s="6" t="n">
        <v>0</v>
      </c>
      <c r="L265" s="6" t="n">
        <v>0</v>
      </c>
      <c r="M265" s="6" t="s">
        <f>=I265+J265+K265+L265</f>
      </c>
      <c r="N265" s="6"/>
      <c r="O265" s="16"/>
    </row>
    <row collapsed="false" customFormat="false" customHeight="false" hidden="false" ht="12.1" outlineLevel="0" r="266">
      <c r="A266" s="21" t="n">
        <v>45321</v>
      </c>
      <c r="B266" s="22" t="s">
        <v>710</v>
      </c>
      <c r="C266" s="22" t="s">
        <v>255</v>
      </c>
      <c r="D266" s="22" t="s">
        <v>710</v>
      </c>
      <c r="E266" s="22" t="s">
        <v>710</v>
      </c>
      <c r="F266" s="22" t="s">
        <v>20</v>
      </c>
      <c r="G266" s="23" t="n">
        <v>1</v>
      </c>
      <c r="H266" s="24" t="n">
        <v>80.31</v>
      </c>
      <c r="I266" s="24" t="n">
        <v>80.31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4"/>
      <c r="O266" s="22"/>
    </row>
    <row collapsed="false" customFormat="false" customHeight="false" hidden="false" ht="12.1" outlineLevel="0" r="267">
      <c r="A267" s="20" t="n">
        <v>45321.452465278</v>
      </c>
      <c r="B267" s="16" t="s">
        <v>240</v>
      </c>
      <c r="C267" s="16" t="s">
        <v>771</v>
      </c>
      <c r="D267" s="16" t="s">
        <v>587</v>
      </c>
      <c r="E267" s="16" t="s">
        <v>135</v>
      </c>
      <c r="F267" s="16" t="s">
        <v>20</v>
      </c>
      <c r="G267" s="7" t="n">
        <v>2</v>
      </c>
      <c r="H267" s="6" t="n">
        <v>94.52</v>
      </c>
      <c r="I267" s="6" t="n">
        <v>-1890.4</v>
      </c>
      <c r="J267" s="6" t="n">
        <v>-14.24</v>
      </c>
      <c r="K267" s="6" t="n">
        <v>-1.11</v>
      </c>
      <c r="L267" s="6" t="n">
        <v>0</v>
      </c>
      <c r="M267" s="6" t="s">
        <f>=I267+J267+K267+L267</f>
      </c>
      <c r="N267" s="6"/>
      <c r="O267" s="16"/>
    </row>
    <row collapsed="false" customFormat="false" customHeight="false" hidden="false" ht="12.1" outlineLevel="0" r="268">
      <c r="A268" s="20" t="n">
        <v>45321.456099537</v>
      </c>
      <c r="B268" s="16" t="s">
        <v>210</v>
      </c>
      <c r="C268" s="16" t="s">
        <v>765</v>
      </c>
      <c r="D268" s="16" t="s">
        <v>587</v>
      </c>
      <c r="E268" s="16" t="s">
        <v>135</v>
      </c>
      <c r="F268" s="16" t="s">
        <v>20</v>
      </c>
      <c r="G268" s="7" t="n">
        <v>2</v>
      </c>
      <c r="H268" s="6" t="n">
        <v>94.94</v>
      </c>
      <c r="I268" s="6" t="n">
        <v>-1898.8</v>
      </c>
      <c r="J268" s="6" t="n">
        <v>-17.46</v>
      </c>
      <c r="K268" s="6" t="n">
        <v>-1.11</v>
      </c>
      <c r="L268" s="6" t="n">
        <v>0</v>
      </c>
      <c r="M268" s="6" t="s">
        <f>=I268+J268+K268+L268</f>
      </c>
      <c r="N268" s="6"/>
      <c r="O268" s="16"/>
    </row>
    <row collapsed="false" customFormat="false" customHeight="false" hidden="false" ht="12.1" outlineLevel="0" r="269">
      <c r="A269" s="20" t="n">
        <v>45321.459884259</v>
      </c>
      <c r="B269" s="16" t="s">
        <v>216</v>
      </c>
      <c r="C269" s="16" t="s">
        <v>772</v>
      </c>
      <c r="D269" s="16" t="s">
        <v>587</v>
      </c>
      <c r="E269" s="16" t="s">
        <v>135</v>
      </c>
      <c r="F269" s="16" t="s">
        <v>20</v>
      </c>
      <c r="G269" s="7" t="n">
        <v>3</v>
      </c>
      <c r="H269" s="6" t="n">
        <v>91.74</v>
      </c>
      <c r="I269" s="6" t="n">
        <v>-2752.2</v>
      </c>
      <c r="J269" s="6" t="n">
        <v>-49.89</v>
      </c>
      <c r="K269" s="6" t="n">
        <v>-1.61</v>
      </c>
      <c r="L269" s="6" t="n">
        <v>0</v>
      </c>
      <c r="M269" s="6" t="s">
        <f>=I269+J269+K269+L269</f>
      </c>
      <c r="N269" s="6"/>
      <c r="O269" s="16"/>
    </row>
    <row collapsed="false" customFormat="false" customHeight="false" hidden="false" ht="12.1" outlineLevel="0" r="270">
      <c r="A270" s="20" t="n">
        <v>45321.460752315</v>
      </c>
      <c r="B270" s="16" t="s">
        <v>207</v>
      </c>
      <c r="C270" s="16" t="s">
        <v>773</v>
      </c>
      <c r="D270" s="16" t="s">
        <v>587</v>
      </c>
      <c r="E270" s="16" t="s">
        <v>135</v>
      </c>
      <c r="F270" s="16" t="s">
        <v>20</v>
      </c>
      <c r="G270" s="7" t="n">
        <v>3</v>
      </c>
      <c r="H270" s="6" t="n">
        <v>86.57</v>
      </c>
      <c r="I270" s="6" t="n">
        <v>-2597.1</v>
      </c>
      <c r="J270" s="6" t="n">
        <v>-111.75</v>
      </c>
      <c r="K270" s="6" t="n">
        <v>-1.52</v>
      </c>
      <c r="L270" s="6" t="n">
        <v>0</v>
      </c>
      <c r="M270" s="6" t="s">
        <f>=I270+J270+K270+L270</f>
      </c>
      <c r="N270" s="6"/>
      <c r="O270" s="16"/>
    </row>
    <row collapsed="false" customFormat="false" customHeight="false" hidden="false" ht="12.1" outlineLevel="0" r="271">
      <c r="A271" s="25" t="n">
        <v>45321.563391204</v>
      </c>
      <c r="B271" s="26" t="s">
        <v>128</v>
      </c>
      <c r="C271" s="26" t="s">
        <v>721</v>
      </c>
      <c r="D271" s="26" t="s">
        <v>588</v>
      </c>
      <c r="E271" s="26" t="s">
        <v>122</v>
      </c>
      <c r="F271" s="26" t="s">
        <v>20</v>
      </c>
      <c r="G271" s="27" t="n">
        <v>-17440</v>
      </c>
      <c r="H271" s="28" t="n">
        <v>1.3374</v>
      </c>
      <c r="I271" s="28" t="n">
        <v>23324.26</v>
      </c>
      <c r="J271" s="28" t="n">
        <v>0</v>
      </c>
      <c r="K271" s="28" t="n">
        <v>0</v>
      </c>
      <c r="L271" s="28" t="n">
        <v>0</v>
      </c>
      <c r="M271" s="6" t="s">
        <f>=I271+J271+K271+L271</f>
      </c>
      <c r="N271" s="28"/>
      <c r="O271" s="26"/>
    </row>
    <row collapsed="false" customFormat="false" customHeight="false" hidden="false" ht="12.1" outlineLevel="0" r="272">
      <c r="A272" s="20" t="n">
        <v>45321.566296296</v>
      </c>
      <c r="B272" s="16" t="s">
        <v>121</v>
      </c>
      <c r="C272" s="16" t="s">
        <v>774</v>
      </c>
      <c r="D272" s="16" t="s">
        <v>587</v>
      </c>
      <c r="E272" s="16" t="s">
        <v>122</v>
      </c>
      <c r="F272" s="16" t="s">
        <v>20</v>
      </c>
      <c r="G272" s="7" t="n">
        <v>100</v>
      </c>
      <c r="H272" s="6" t="n">
        <v>139.6</v>
      </c>
      <c r="I272" s="6" t="n">
        <v>-13960</v>
      </c>
      <c r="J272" s="6" t="n">
        <v>0</v>
      </c>
      <c r="K272" s="6" t="n">
        <v>-4.19</v>
      </c>
      <c r="L272" s="6" t="n">
        <v>0</v>
      </c>
      <c r="M272" s="6" t="s">
        <f>=I272+J272+K272+L272</f>
      </c>
      <c r="N272" s="6"/>
      <c r="O272" s="16"/>
    </row>
    <row collapsed="false" customFormat="false" customHeight="false" hidden="false" ht="12.1" outlineLevel="0" r="273">
      <c r="A273" s="20" t="n">
        <v>45323.581493056</v>
      </c>
      <c r="B273" s="16" t="s">
        <v>46</v>
      </c>
      <c r="C273" s="16" t="s">
        <v>775</v>
      </c>
      <c r="D273" s="16" t="s">
        <v>587</v>
      </c>
      <c r="E273" s="16" t="s">
        <v>18</v>
      </c>
      <c r="F273" s="16" t="s">
        <v>20</v>
      </c>
      <c r="G273" s="7" t="n">
        <v>2</v>
      </c>
      <c r="H273" s="6" t="n">
        <v>858.8</v>
      </c>
      <c r="I273" s="6" t="n">
        <v>-1717.6</v>
      </c>
      <c r="J273" s="6" t="n">
        <v>0</v>
      </c>
      <c r="K273" s="6" t="n">
        <v>-1.38</v>
      </c>
      <c r="L273" s="6" t="n">
        <v>0</v>
      </c>
      <c r="M273" s="6" t="s">
        <f>=I273+J273+K273+L273</f>
      </c>
      <c r="N273" s="6"/>
      <c r="O273" s="16"/>
    </row>
    <row collapsed="false" customFormat="false" customHeight="false" hidden="false" ht="12.1" outlineLevel="0" r="274">
      <c r="A274" s="25" t="n">
        <v>45323.622314815</v>
      </c>
      <c r="B274" s="26" t="s">
        <v>128</v>
      </c>
      <c r="C274" s="26" t="s">
        <v>721</v>
      </c>
      <c r="D274" s="26" t="s">
        <v>588</v>
      </c>
      <c r="E274" s="26" t="s">
        <v>122</v>
      </c>
      <c r="F274" s="26" t="s">
        <v>20</v>
      </c>
      <c r="G274" s="27" t="n">
        <v>-1200</v>
      </c>
      <c r="H274" s="28" t="n">
        <v>1.3384</v>
      </c>
      <c r="I274" s="28" t="n">
        <v>1606.08</v>
      </c>
      <c r="J274" s="28" t="n">
        <v>0</v>
      </c>
      <c r="K274" s="28" t="n">
        <v>0</v>
      </c>
      <c r="L274" s="28" t="n">
        <v>0</v>
      </c>
      <c r="M274" s="6" t="s">
        <f>=I274+J274+K274+L274</f>
      </c>
      <c r="N274" s="28"/>
      <c r="O274" s="26"/>
    </row>
    <row collapsed="false" customFormat="false" customHeight="false" hidden="false" ht="12.1" outlineLevel="0" r="275">
      <c r="A275" s="20" t="n">
        <v>45324.575300926</v>
      </c>
      <c r="B275" s="16" t="s">
        <v>126</v>
      </c>
      <c r="C275" s="16" t="s">
        <v>776</v>
      </c>
      <c r="D275" s="16" t="s">
        <v>587</v>
      </c>
      <c r="E275" s="16" t="s">
        <v>122</v>
      </c>
      <c r="F275" s="16" t="s">
        <v>20</v>
      </c>
      <c r="G275" s="7" t="n">
        <v>700</v>
      </c>
      <c r="H275" s="6" t="n">
        <v>134.69285714286</v>
      </c>
      <c r="I275" s="6" t="n">
        <v>-94285</v>
      </c>
      <c r="J275" s="6" t="n">
        <v>0</v>
      </c>
      <c r="K275" s="6" t="n">
        <v>0</v>
      </c>
      <c r="L275" s="6" t="n">
        <v>0</v>
      </c>
      <c r="M275" s="6" t="s">
        <f>=I275+J275+K275+L275</f>
      </c>
      <c r="N275" s="6"/>
      <c r="O275" s="16"/>
    </row>
    <row collapsed="false" customFormat="false" customHeight="false" hidden="false" ht="12.1" outlineLevel="0" r="276">
      <c r="A276" s="25" t="n">
        <v>45324.588136574</v>
      </c>
      <c r="B276" s="26" t="s">
        <v>128</v>
      </c>
      <c r="C276" s="26" t="s">
        <v>721</v>
      </c>
      <c r="D276" s="26" t="s">
        <v>588</v>
      </c>
      <c r="E276" s="26" t="s">
        <v>122</v>
      </c>
      <c r="F276" s="26" t="s">
        <v>20</v>
      </c>
      <c r="G276" s="27" t="n">
        <v>-75007</v>
      </c>
      <c r="H276" s="28" t="n">
        <v>1.34</v>
      </c>
      <c r="I276" s="28" t="n">
        <v>100509.38</v>
      </c>
      <c r="J276" s="28" t="n">
        <v>0</v>
      </c>
      <c r="K276" s="28" t="n">
        <v>0</v>
      </c>
      <c r="L276" s="28" t="n">
        <v>0</v>
      </c>
      <c r="M276" s="6" t="s">
        <f>=I276+J276+K276+L276</f>
      </c>
      <c r="N276" s="28"/>
      <c r="O276" s="26"/>
    </row>
    <row collapsed="false" customFormat="false" customHeight="false" hidden="false" ht="12.1" outlineLevel="0" r="277">
      <c r="A277" s="20" t="n">
        <v>45324.646203704</v>
      </c>
      <c r="B277" s="16" t="s">
        <v>228</v>
      </c>
      <c r="C277" s="16" t="s">
        <v>777</v>
      </c>
      <c r="D277" s="16" t="s">
        <v>587</v>
      </c>
      <c r="E277" s="16" t="s">
        <v>135</v>
      </c>
      <c r="F277" s="16" t="s">
        <v>20</v>
      </c>
      <c r="G277" s="7" t="n">
        <v>7</v>
      </c>
      <c r="H277" s="6" t="n">
        <v>89.135714285714</v>
      </c>
      <c r="I277" s="6" t="n">
        <v>-6239.5</v>
      </c>
      <c r="J277" s="6" t="n">
        <v>-6.16</v>
      </c>
      <c r="K277" s="6" t="n">
        <v>-0.92</v>
      </c>
      <c r="L277" s="6" t="n">
        <v>0</v>
      </c>
      <c r="M277" s="6" t="s">
        <f>=I277+J277+K277+L277</f>
      </c>
      <c r="N277" s="6"/>
      <c r="O277" s="16"/>
    </row>
    <row collapsed="false" customFormat="false" customHeight="false" hidden="false" ht="12.1" outlineLevel="0" r="278">
      <c r="A278" s="21" t="n">
        <v>45327</v>
      </c>
      <c r="B278" s="22" t="s">
        <v>710</v>
      </c>
      <c r="C278" s="22" t="s">
        <v>255</v>
      </c>
      <c r="D278" s="22" t="s">
        <v>710</v>
      </c>
      <c r="E278" s="22" t="s">
        <v>710</v>
      </c>
      <c r="F278" s="22" t="s">
        <v>20</v>
      </c>
      <c r="G278" s="23" t="n">
        <v>1</v>
      </c>
      <c r="H278" s="24" t="n">
        <v>10.26</v>
      </c>
      <c r="I278" s="24" t="n">
        <v>10.26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4"/>
      <c r="O278" s="22"/>
    </row>
    <row collapsed="false" customFormat="false" customHeight="false" hidden="false" ht="12.1" outlineLevel="0" r="279">
      <c r="A279" s="20" t="n">
        <v>45327.781828704</v>
      </c>
      <c r="B279" s="16" t="s">
        <v>609</v>
      </c>
      <c r="C279" s="16" t="s">
        <v>778</v>
      </c>
      <c r="D279" s="16" t="s">
        <v>587</v>
      </c>
      <c r="E279" s="16" t="s">
        <v>135</v>
      </c>
      <c r="F279" s="16" t="s">
        <v>20</v>
      </c>
      <c r="G279" s="7" t="n">
        <v>10</v>
      </c>
      <c r="H279" s="6" t="n">
        <v>91.18</v>
      </c>
      <c r="I279" s="6" t="n">
        <v>-9118</v>
      </c>
      <c r="J279" s="6" t="n">
        <v>-162.6</v>
      </c>
      <c r="K279" s="6" t="n">
        <v>-5.93</v>
      </c>
      <c r="L279" s="6" t="n">
        <v>0</v>
      </c>
      <c r="M279" s="6" t="s">
        <f>=I279+J279+K279+L279</f>
      </c>
      <c r="N279" s="6"/>
      <c r="O279" s="16"/>
    </row>
    <row collapsed="false" customFormat="false" customHeight="false" hidden="false" ht="12.1" outlineLevel="0" r="280">
      <c r="A280" s="20" t="n">
        <v>45327.783877315</v>
      </c>
      <c r="B280" s="16" t="s">
        <v>174</v>
      </c>
      <c r="C280" s="16" t="s">
        <v>779</v>
      </c>
      <c r="D280" s="16" t="s">
        <v>587</v>
      </c>
      <c r="E280" s="16" t="s">
        <v>135</v>
      </c>
      <c r="F280" s="16" t="s">
        <v>20</v>
      </c>
      <c r="G280" s="7" t="n">
        <v>10</v>
      </c>
      <c r="H280" s="6" t="n">
        <v>91.4</v>
      </c>
      <c r="I280" s="6" t="n">
        <v>-9140</v>
      </c>
      <c r="J280" s="6" t="n">
        <v>-295.1</v>
      </c>
      <c r="K280" s="6" t="n">
        <v>-5.94</v>
      </c>
      <c r="L280" s="6" t="n">
        <v>0</v>
      </c>
      <c r="M280" s="6" t="s">
        <f>=I280+J280+K280+L280</f>
      </c>
      <c r="N280" s="6"/>
      <c r="O280" s="16"/>
    </row>
    <row collapsed="false" customFormat="false" customHeight="false" hidden="false" ht="12.1" outlineLevel="0" r="281">
      <c r="A281" s="20" t="n">
        <v>45327.796111111</v>
      </c>
      <c r="B281" s="16" t="s">
        <v>156</v>
      </c>
      <c r="C281" s="16" t="s">
        <v>767</v>
      </c>
      <c r="D281" s="16" t="s">
        <v>587</v>
      </c>
      <c r="E281" s="16" t="s">
        <v>135</v>
      </c>
      <c r="F281" s="16" t="s">
        <v>20</v>
      </c>
      <c r="G281" s="7" t="n">
        <v>5</v>
      </c>
      <c r="H281" s="6" t="n">
        <v>81.349</v>
      </c>
      <c r="I281" s="6" t="n">
        <v>-4067.45</v>
      </c>
      <c r="J281" s="6" t="n">
        <v>-127.6</v>
      </c>
      <c r="K281" s="6" t="n">
        <v>-0.61</v>
      </c>
      <c r="L281" s="6" t="n">
        <v>0</v>
      </c>
      <c r="M281" s="6" t="s">
        <f>=I281+J281+K281+L281</f>
      </c>
      <c r="N281" s="6"/>
      <c r="O281" s="16"/>
    </row>
    <row collapsed="false" customFormat="false" customHeight="false" hidden="false" ht="12.1" outlineLevel="0" r="282">
      <c r="A282" s="20" t="n">
        <v>45327.797372685</v>
      </c>
      <c r="B282" s="16" t="s">
        <v>121</v>
      </c>
      <c r="C282" s="16" t="s">
        <v>774</v>
      </c>
      <c r="D282" s="16" t="s">
        <v>587</v>
      </c>
      <c r="E282" s="16" t="s">
        <v>122</v>
      </c>
      <c r="F282" s="16" t="s">
        <v>20</v>
      </c>
      <c r="G282" s="7" t="n">
        <v>50</v>
      </c>
      <c r="H282" s="6" t="n">
        <v>139.78</v>
      </c>
      <c r="I282" s="6" t="n">
        <v>-6989</v>
      </c>
      <c r="J282" s="6" t="n">
        <v>0</v>
      </c>
      <c r="K282" s="6" t="n">
        <v>-0.09</v>
      </c>
      <c r="L282" s="6" t="n">
        <v>0</v>
      </c>
      <c r="M282" s="6" t="s">
        <f>=I282+J282+K282+L282</f>
      </c>
      <c r="N282" s="6"/>
      <c r="O282" s="16"/>
    </row>
    <row collapsed="false" customFormat="false" customHeight="false" hidden="false" ht="12.1" outlineLevel="0" r="283">
      <c r="A283" s="25" t="n">
        <v>45327.798425926</v>
      </c>
      <c r="B283" s="26" t="s">
        <v>128</v>
      </c>
      <c r="C283" s="26" t="s">
        <v>721</v>
      </c>
      <c r="D283" s="26" t="s">
        <v>588</v>
      </c>
      <c r="E283" s="26" t="s">
        <v>122</v>
      </c>
      <c r="F283" s="26" t="s">
        <v>20</v>
      </c>
      <c r="G283" s="27" t="n">
        <v>-23000</v>
      </c>
      <c r="H283" s="28" t="n">
        <v>1.3401</v>
      </c>
      <c r="I283" s="28" t="n">
        <v>30822.3</v>
      </c>
      <c r="J283" s="28" t="n">
        <v>0</v>
      </c>
      <c r="K283" s="28" t="n">
        <v>-9.25</v>
      </c>
      <c r="L283" s="28" t="n">
        <v>0</v>
      </c>
      <c r="M283" s="6" t="s">
        <f>=I283+J283+K283+L283</f>
      </c>
      <c r="N283" s="28"/>
      <c r="O283" s="26"/>
    </row>
    <row collapsed="false" customFormat="false" customHeight="false" hidden="false" ht="12.1" outlineLevel="0" r="284">
      <c r="A284" s="20" t="n">
        <v>45327.799560185</v>
      </c>
      <c r="B284" s="16" t="s">
        <v>130</v>
      </c>
      <c r="C284" s="16" t="s">
        <v>722</v>
      </c>
      <c r="D284" s="16" t="s">
        <v>587</v>
      </c>
      <c r="E284" s="16" t="s">
        <v>122</v>
      </c>
      <c r="F284" s="16" t="s">
        <v>20</v>
      </c>
      <c r="G284" s="7" t="n">
        <v>600</v>
      </c>
      <c r="H284" s="6" t="n">
        <v>1.5095</v>
      </c>
      <c r="I284" s="6" t="n">
        <v>-905.7</v>
      </c>
      <c r="J284" s="6" t="n">
        <v>0</v>
      </c>
      <c r="K284" s="6" t="n">
        <v>-0.28</v>
      </c>
      <c r="L284" s="6" t="n">
        <v>0</v>
      </c>
      <c r="M284" s="6" t="s">
        <f>=I284+J284+K284+L284</f>
      </c>
      <c r="N284" s="6"/>
      <c r="O284" s="16"/>
    </row>
    <row collapsed="false" customFormat="false" customHeight="false" hidden="false" ht="12.1" outlineLevel="0" r="285">
      <c r="A285" s="20" t="n">
        <v>45336.779583333</v>
      </c>
      <c r="B285" s="16" t="s">
        <v>128</v>
      </c>
      <c r="C285" s="16" t="s">
        <v>721</v>
      </c>
      <c r="D285" s="16" t="s">
        <v>587</v>
      </c>
      <c r="E285" s="16" t="s">
        <v>122</v>
      </c>
      <c r="F285" s="16" t="s">
        <v>20</v>
      </c>
      <c r="G285" s="7" t="n">
        <v>10</v>
      </c>
      <c r="H285" s="6" t="n">
        <v>1.3457</v>
      </c>
      <c r="I285" s="6" t="n">
        <v>-13.46</v>
      </c>
      <c r="J285" s="6" t="n">
        <v>0</v>
      </c>
      <c r="K285" s="6" t="n">
        <v>0</v>
      </c>
      <c r="L285" s="6" t="n">
        <v>0</v>
      </c>
      <c r="M285" s="6" t="s">
        <f>=I285+J285+K285+L285</f>
      </c>
      <c r="N285" s="6"/>
      <c r="O285" s="16"/>
    </row>
    <row collapsed="false" customFormat="false" customHeight="false" hidden="false" ht="12.1" outlineLevel="0" r="286">
      <c r="A286" s="20" t="n">
        <v>45341.569386574</v>
      </c>
      <c r="B286" s="16" t="s">
        <v>156</v>
      </c>
      <c r="C286" s="16" t="s">
        <v>767</v>
      </c>
      <c r="D286" s="16" t="s">
        <v>587</v>
      </c>
      <c r="E286" s="16" t="s">
        <v>135</v>
      </c>
      <c r="F286" s="16" t="s">
        <v>20</v>
      </c>
      <c r="G286" s="7" t="n">
        <v>5</v>
      </c>
      <c r="H286" s="6" t="n">
        <v>80.694</v>
      </c>
      <c r="I286" s="6" t="n">
        <v>-4034.7</v>
      </c>
      <c r="J286" s="6" t="n">
        <v>-140.45</v>
      </c>
      <c r="K286" s="6" t="n">
        <v>-2.36</v>
      </c>
      <c r="L286" s="6" t="n">
        <v>0</v>
      </c>
      <c r="M286" s="6" t="s">
        <f>=I286+J286+K286+L286</f>
      </c>
      <c r="N286" s="6"/>
      <c r="O286" s="16"/>
    </row>
    <row collapsed="false" customFormat="false" customHeight="false" hidden="false" ht="12.1" outlineLevel="0" r="287">
      <c r="A287" s="20" t="n">
        <v>45341.569965278</v>
      </c>
      <c r="B287" s="16" t="s">
        <v>174</v>
      </c>
      <c r="C287" s="16" t="s">
        <v>779</v>
      </c>
      <c r="D287" s="16" t="s">
        <v>587</v>
      </c>
      <c r="E287" s="16" t="s">
        <v>135</v>
      </c>
      <c r="F287" s="16" t="s">
        <v>20</v>
      </c>
      <c r="G287" s="7" t="n">
        <v>5</v>
      </c>
      <c r="H287" s="6" t="n">
        <v>90.967</v>
      </c>
      <c r="I287" s="6" t="n">
        <v>-4548.35</v>
      </c>
      <c r="J287" s="6" t="n">
        <v>-162.4</v>
      </c>
      <c r="K287" s="6" t="n">
        <v>-2.65</v>
      </c>
      <c r="L287" s="6" t="n">
        <v>0</v>
      </c>
      <c r="M287" s="6" t="s">
        <f>=I287+J287+K287+L287</f>
      </c>
      <c r="N287" s="6"/>
      <c r="O287" s="16"/>
    </row>
    <row collapsed="false" customFormat="false" customHeight="false" hidden="false" ht="12.1" outlineLevel="0" r="288">
      <c r="A288" s="20" t="n">
        <v>45341.571111111</v>
      </c>
      <c r="B288" s="16" t="s">
        <v>192</v>
      </c>
      <c r="C288" s="16" t="s">
        <v>769</v>
      </c>
      <c r="D288" s="16" t="s">
        <v>587</v>
      </c>
      <c r="E288" s="16" t="s">
        <v>135</v>
      </c>
      <c r="F288" s="16" t="s">
        <v>20</v>
      </c>
      <c r="G288" s="7" t="n">
        <v>2</v>
      </c>
      <c r="H288" s="6" t="n">
        <v>97.25</v>
      </c>
      <c r="I288" s="6" t="n">
        <v>-1945</v>
      </c>
      <c r="J288" s="6" t="n">
        <v>-67.56</v>
      </c>
      <c r="K288" s="6" t="n">
        <v>-1.14</v>
      </c>
      <c r="L288" s="6" t="n">
        <v>0</v>
      </c>
      <c r="M288" s="6" t="s">
        <f>=I288+J288+K288+L288</f>
      </c>
      <c r="N288" s="6"/>
      <c r="O288" s="16"/>
    </row>
    <row collapsed="false" customFormat="false" customHeight="false" hidden="false" ht="12.1" outlineLevel="0" r="289">
      <c r="A289" s="20" t="n">
        <v>45341.571539352</v>
      </c>
      <c r="B289" s="16" t="s">
        <v>207</v>
      </c>
      <c r="C289" s="16" t="s">
        <v>773</v>
      </c>
      <c r="D289" s="16" t="s">
        <v>587</v>
      </c>
      <c r="E289" s="16" t="s">
        <v>135</v>
      </c>
      <c r="F289" s="16" t="s">
        <v>20</v>
      </c>
      <c r="G289" s="7" t="n">
        <v>2</v>
      </c>
      <c r="H289" s="6" t="n">
        <v>86.45</v>
      </c>
      <c r="I289" s="6" t="n">
        <v>-1729</v>
      </c>
      <c r="J289" s="6" t="n">
        <v>-84.64</v>
      </c>
      <c r="K289" s="6" t="n">
        <v>-1</v>
      </c>
      <c r="L289" s="6" t="n">
        <v>0</v>
      </c>
      <c r="M289" s="6" t="s">
        <f>=I289+J289+K289+L289</f>
      </c>
      <c r="N289" s="6"/>
      <c r="O289" s="16"/>
    </row>
    <row collapsed="false" customFormat="false" customHeight="false" hidden="false" ht="12.1" outlineLevel="0" r="290">
      <c r="A290" s="25" t="n">
        <v>45341.639375</v>
      </c>
      <c r="B290" s="26" t="s">
        <v>128</v>
      </c>
      <c r="C290" s="26" t="s">
        <v>721</v>
      </c>
      <c r="D290" s="26" t="s">
        <v>588</v>
      </c>
      <c r="E290" s="26" t="s">
        <v>122</v>
      </c>
      <c r="F290" s="26" t="s">
        <v>20</v>
      </c>
      <c r="G290" s="27" t="n">
        <v>-9500</v>
      </c>
      <c r="H290" s="28" t="n">
        <v>1.3484</v>
      </c>
      <c r="I290" s="28" t="n">
        <v>12809.8</v>
      </c>
      <c r="J290" s="28" t="n">
        <v>0</v>
      </c>
      <c r="K290" s="28" t="n">
        <v>0</v>
      </c>
      <c r="L290" s="28" t="n">
        <v>0</v>
      </c>
      <c r="M290" s="6" t="s">
        <f>=I290+J290+K290+L290</f>
      </c>
      <c r="N290" s="28"/>
      <c r="O290" s="26"/>
    </row>
    <row collapsed="false" customFormat="false" customHeight="false" hidden="false" ht="12.1" outlineLevel="0" r="291">
      <c r="A291" s="20" t="n">
        <v>45341.641342593</v>
      </c>
      <c r="B291" s="16" t="s">
        <v>128</v>
      </c>
      <c r="C291" s="16" t="s">
        <v>721</v>
      </c>
      <c r="D291" s="16" t="s">
        <v>587</v>
      </c>
      <c r="E291" s="16" t="s">
        <v>122</v>
      </c>
      <c r="F291" s="16" t="s">
        <v>20</v>
      </c>
      <c r="G291" s="7" t="n">
        <v>66</v>
      </c>
      <c r="H291" s="6" t="n">
        <v>1.3484</v>
      </c>
      <c r="I291" s="6" t="n">
        <v>-88.99</v>
      </c>
      <c r="J291" s="6" t="n">
        <v>0</v>
      </c>
      <c r="K291" s="6" t="n">
        <v>0</v>
      </c>
      <c r="L291" s="6" t="n">
        <v>0</v>
      </c>
      <c r="M291" s="6" t="s">
        <f>=I291+J291+K291+L291</f>
      </c>
      <c r="N291" s="6"/>
      <c r="O291" s="16"/>
    </row>
    <row collapsed="false" customFormat="false" customHeight="false" hidden="false" ht="12.1" outlineLevel="0" r="292">
      <c r="A292" s="20" t="n">
        <v>45348.631886574</v>
      </c>
      <c r="B292" s="16" t="s">
        <v>234</v>
      </c>
      <c r="C292" s="16" t="s">
        <v>780</v>
      </c>
      <c r="D292" s="16" t="s">
        <v>587</v>
      </c>
      <c r="E292" s="16" t="s">
        <v>135</v>
      </c>
      <c r="F292" s="16" t="s">
        <v>20</v>
      </c>
      <c r="G292" s="7" t="n">
        <v>1</v>
      </c>
      <c r="H292" s="6" t="n">
        <v>101.99</v>
      </c>
      <c r="I292" s="6" t="n">
        <v>-700.33</v>
      </c>
      <c r="J292" s="6" t="n">
        <v>-23.59</v>
      </c>
      <c r="K292" s="6" t="n">
        <v>-0.41</v>
      </c>
      <c r="L292" s="6" t="n">
        <v>0</v>
      </c>
      <c r="M292" s="6" t="s">
        <f>=I292+J292+K292+L292</f>
      </c>
      <c r="N292" s="6"/>
      <c r="O292" s="16"/>
    </row>
    <row collapsed="false" customFormat="false" customHeight="false" hidden="false" ht="12.1" outlineLevel="0" r="293">
      <c r="A293" s="25" t="n">
        <v>45348.70849537</v>
      </c>
      <c r="B293" s="26" t="s">
        <v>128</v>
      </c>
      <c r="C293" s="26" t="s">
        <v>721</v>
      </c>
      <c r="D293" s="26" t="s">
        <v>588</v>
      </c>
      <c r="E293" s="26" t="s">
        <v>122</v>
      </c>
      <c r="F293" s="26" t="s">
        <v>20</v>
      </c>
      <c r="G293" s="27" t="n">
        <v>-5496</v>
      </c>
      <c r="H293" s="28" t="n">
        <v>1.3524</v>
      </c>
      <c r="I293" s="28" t="n">
        <v>7432.79</v>
      </c>
      <c r="J293" s="28" t="n">
        <v>0</v>
      </c>
      <c r="K293" s="28" t="n">
        <v>0</v>
      </c>
      <c r="L293" s="28" t="n">
        <v>0</v>
      </c>
      <c r="M293" s="6" t="s">
        <f>=I293+J293+K293+L293</f>
      </c>
      <c r="N293" s="28"/>
      <c r="O293" s="26"/>
    </row>
    <row collapsed="false" customFormat="false" customHeight="false" hidden="false" ht="12.1" outlineLevel="0" r="294">
      <c r="A294" s="20" t="n">
        <v>45348.721157407</v>
      </c>
      <c r="B294" s="16" t="s">
        <v>52</v>
      </c>
      <c r="C294" s="16" t="s">
        <v>781</v>
      </c>
      <c r="D294" s="16" t="s">
        <v>587</v>
      </c>
      <c r="E294" s="16" t="s">
        <v>18</v>
      </c>
      <c r="F294" s="16" t="s">
        <v>20</v>
      </c>
      <c r="G294" s="7" t="n">
        <v>5</v>
      </c>
      <c r="H294" s="6" t="n">
        <v>1340</v>
      </c>
      <c r="I294" s="6" t="n">
        <v>-6700</v>
      </c>
      <c r="J294" s="6" t="n">
        <v>0</v>
      </c>
      <c r="K294" s="6" t="n">
        <v>-5.36</v>
      </c>
      <c r="L294" s="6" t="n">
        <v>0</v>
      </c>
      <c r="M294" s="6" t="s">
        <f>=I294+J294+K294+L294</f>
      </c>
      <c r="N294" s="6"/>
      <c r="O294" s="16"/>
    </row>
    <row collapsed="false" customFormat="false" customHeight="false" hidden="false" ht="12.1" outlineLevel="0" r="295">
      <c r="A295" s="21" t="n">
        <v>45351</v>
      </c>
      <c r="B295" s="22" t="s">
        <v>782</v>
      </c>
      <c r="C295" s="22" t="s">
        <v>783</v>
      </c>
      <c r="D295" s="22" t="s">
        <v>784</v>
      </c>
      <c r="E295" s="22" t="s">
        <v>784</v>
      </c>
      <c r="F295" s="22" t="s">
        <v>20</v>
      </c>
      <c r="G295" s="23" t="n">
        <v>1</v>
      </c>
      <c r="H295" s="24" t="n">
        <v>0.01</v>
      </c>
      <c r="I295" s="24" t="n">
        <v>0.01</v>
      </c>
      <c r="J295" s="24" t="n">
        <v>0</v>
      </c>
      <c r="K295" s="24" t="n">
        <v>0</v>
      </c>
      <c r="L295" s="24" t="n">
        <v>0</v>
      </c>
      <c r="M295" s="6" t="s">
        <f>=I295+J295+K295+L295</f>
      </c>
      <c r="N295" s="24"/>
      <c r="O295" s="22"/>
    </row>
    <row collapsed="false" customFormat="false" customHeight="false" hidden="false" ht="12.1" outlineLevel="0" r="296">
      <c r="A296" s="21" t="n">
        <v>45365</v>
      </c>
      <c r="B296" s="22" t="s">
        <v>710</v>
      </c>
      <c r="C296" s="22" t="s">
        <v>255</v>
      </c>
      <c r="D296" s="22" t="s">
        <v>710</v>
      </c>
      <c r="E296" s="22" t="s">
        <v>710</v>
      </c>
      <c r="F296" s="22" t="s">
        <v>20</v>
      </c>
      <c r="G296" s="23" t="n">
        <v>1</v>
      </c>
      <c r="H296" s="24" t="n">
        <v>10</v>
      </c>
      <c r="I296" s="24" t="n">
        <v>10</v>
      </c>
      <c r="J296" s="24" t="n">
        <v>0</v>
      </c>
      <c r="K296" s="24" t="n">
        <v>0</v>
      </c>
      <c r="L296" s="24" t="n">
        <v>0</v>
      </c>
      <c r="M296" s="6" t="s">
        <f>=I296+J296+K296+L296</f>
      </c>
      <c r="N296" s="24"/>
      <c r="O296" s="22"/>
    </row>
    <row collapsed="false" customFormat="false" customHeight="false" hidden="false" ht="12.1" outlineLevel="0" r="297">
      <c r="A297" s="21" t="n">
        <v>45365</v>
      </c>
      <c r="B297" s="22" t="s">
        <v>785</v>
      </c>
      <c r="C297" s="22" t="s">
        <v>786</v>
      </c>
      <c r="D297" s="22" t="s">
        <v>785</v>
      </c>
      <c r="E297" s="22" t="s">
        <v>785</v>
      </c>
      <c r="F297" s="22" t="s">
        <v>20</v>
      </c>
      <c r="G297" s="23" t="n">
        <v>1</v>
      </c>
      <c r="H297" s="24" t="n">
        <v>15.09</v>
      </c>
      <c r="I297" s="24" t="n">
        <v>15.09</v>
      </c>
      <c r="J297" s="24" t="n">
        <v>0</v>
      </c>
      <c r="K297" s="24" t="n">
        <v>0</v>
      </c>
      <c r="L297" s="24" t="n">
        <v>0</v>
      </c>
      <c r="M297" s="6" t="s">
        <f>=I297+J297+K297+L297</f>
      </c>
      <c r="N297" s="24"/>
      <c r="O297" s="22"/>
    </row>
    <row collapsed="false" customFormat="false" customHeight="false" hidden="false" ht="12.1" outlineLevel="0" r="298">
      <c r="A298" s="20" t="n">
        <v>45365.718854167</v>
      </c>
      <c r="B298" s="16" t="s">
        <v>162</v>
      </c>
      <c r="C298" s="16" t="s">
        <v>787</v>
      </c>
      <c r="D298" s="16" t="s">
        <v>587</v>
      </c>
      <c r="E298" s="16" t="s">
        <v>135</v>
      </c>
      <c r="F298" s="16" t="s">
        <v>20</v>
      </c>
      <c r="G298" s="7" t="n">
        <v>10</v>
      </c>
      <c r="H298" s="6" t="n">
        <v>95.45</v>
      </c>
      <c r="I298" s="6" t="n">
        <v>-9545</v>
      </c>
      <c r="J298" s="6" t="n">
        <v>-81.3</v>
      </c>
      <c r="K298" s="6" t="n">
        <v>-5.58</v>
      </c>
      <c r="L298" s="6" t="n">
        <v>0</v>
      </c>
      <c r="M298" s="6" t="s">
        <f>=I298+J298+K298+L298</f>
      </c>
      <c r="N298" s="6"/>
      <c r="O298" s="16"/>
    </row>
    <row collapsed="false" customFormat="false" customHeight="false" hidden="false" ht="12.1" outlineLevel="0" r="299">
      <c r="A299" s="25" t="n">
        <v>45365.805613426</v>
      </c>
      <c r="B299" s="26" t="s">
        <v>128</v>
      </c>
      <c r="C299" s="26" t="s">
        <v>721</v>
      </c>
      <c r="D299" s="26" t="s">
        <v>588</v>
      </c>
      <c r="E299" s="26" t="s">
        <v>122</v>
      </c>
      <c r="F299" s="26" t="s">
        <v>20</v>
      </c>
      <c r="G299" s="27" t="n">
        <v>-7054</v>
      </c>
      <c r="H299" s="28" t="n">
        <v>1.3621</v>
      </c>
      <c r="I299" s="28" t="n">
        <v>9608.25</v>
      </c>
      <c r="J299" s="28" t="n">
        <v>0</v>
      </c>
      <c r="K299" s="28" t="n">
        <v>0</v>
      </c>
      <c r="L299" s="28" t="n">
        <v>0</v>
      </c>
      <c r="M299" s="6" t="s">
        <f>=I299+J299+K299+L299</f>
      </c>
      <c r="N299" s="28"/>
      <c r="O299" s="26"/>
    </row>
    <row collapsed="false" customFormat="false" customHeight="false" hidden="false" ht="12.1" outlineLevel="0" r="300">
      <c r="A300" s="20" t="n">
        <v>45366.520983796</v>
      </c>
      <c r="B300" s="16" t="s">
        <v>213</v>
      </c>
      <c r="C300" s="16" t="s">
        <v>770</v>
      </c>
      <c r="D300" s="16" t="s">
        <v>587</v>
      </c>
      <c r="E300" s="16" t="s">
        <v>135</v>
      </c>
      <c r="F300" s="16" t="s">
        <v>20</v>
      </c>
      <c r="G300" s="7" t="n">
        <v>5</v>
      </c>
      <c r="H300" s="6" t="n">
        <v>101.18</v>
      </c>
      <c r="I300" s="6" t="n">
        <v>-5059</v>
      </c>
      <c r="J300" s="6" t="n">
        <v>-6.6</v>
      </c>
      <c r="K300" s="6" t="n">
        <v>-2.96</v>
      </c>
      <c r="L300" s="6" t="n">
        <v>0</v>
      </c>
      <c r="M300" s="6" t="s">
        <f>=I300+J300+K300+L300</f>
      </c>
      <c r="N300" s="6"/>
      <c r="O300" s="16"/>
    </row>
    <row collapsed="false" customFormat="false" customHeight="false" hidden="false" ht="12.1" outlineLevel="0" r="301">
      <c r="A301" s="25" t="n">
        <v>45366.676412037</v>
      </c>
      <c r="B301" s="26" t="s">
        <v>128</v>
      </c>
      <c r="C301" s="26" t="s">
        <v>721</v>
      </c>
      <c r="D301" s="26" t="s">
        <v>588</v>
      </c>
      <c r="E301" s="26" t="s">
        <v>122</v>
      </c>
      <c r="F301" s="26" t="s">
        <v>20</v>
      </c>
      <c r="G301" s="27" t="n">
        <v>-3710</v>
      </c>
      <c r="H301" s="28" t="n">
        <v>1.364</v>
      </c>
      <c r="I301" s="28" t="n">
        <v>5060.44</v>
      </c>
      <c r="J301" s="28" t="n">
        <v>0</v>
      </c>
      <c r="K301" s="28" t="n">
        <v>0</v>
      </c>
      <c r="L301" s="28" t="n">
        <v>0</v>
      </c>
      <c r="M301" s="6" t="s">
        <f>=I301+J301+K301+L301</f>
      </c>
      <c r="N301" s="28"/>
      <c r="O301" s="26"/>
    </row>
    <row collapsed="false" customFormat="false" customHeight="false" hidden="false" ht="12.1" outlineLevel="0" r="302">
      <c r="A302" s="25" t="n">
        <v>45369.449224537</v>
      </c>
      <c r="B302" s="26" t="s">
        <v>128</v>
      </c>
      <c r="C302" s="26" t="s">
        <v>721</v>
      </c>
      <c r="D302" s="26" t="s">
        <v>588</v>
      </c>
      <c r="E302" s="26" t="s">
        <v>122</v>
      </c>
      <c r="F302" s="26" t="s">
        <v>20</v>
      </c>
      <c r="G302" s="27" t="n">
        <v>-16381</v>
      </c>
      <c r="H302" s="28" t="n">
        <v>1.3644</v>
      </c>
      <c r="I302" s="28" t="n">
        <v>22350.23</v>
      </c>
      <c r="J302" s="28" t="n">
        <v>0</v>
      </c>
      <c r="K302" s="28" t="n">
        <v>0</v>
      </c>
      <c r="L302" s="28" t="n">
        <v>0</v>
      </c>
      <c r="M302" s="6" t="s">
        <f>=I302+J302+K302+L302</f>
      </c>
      <c r="N302" s="28"/>
      <c r="O302" s="26"/>
    </row>
    <row collapsed="false" customFormat="false" customHeight="false" hidden="false" ht="12.1" outlineLevel="0" r="303">
      <c r="A303" s="20" t="n">
        <v>45369.571423611</v>
      </c>
      <c r="B303" s="16" t="s">
        <v>144</v>
      </c>
      <c r="C303" s="16" t="s">
        <v>788</v>
      </c>
      <c r="D303" s="16" t="s">
        <v>587</v>
      </c>
      <c r="E303" s="16" t="s">
        <v>135</v>
      </c>
      <c r="F303" s="16" t="s">
        <v>20</v>
      </c>
      <c r="G303" s="7" t="n">
        <v>10</v>
      </c>
      <c r="H303" s="6" t="n">
        <v>90.8</v>
      </c>
      <c r="I303" s="6" t="n">
        <v>-9080</v>
      </c>
      <c r="J303" s="6" t="n">
        <v>-450</v>
      </c>
      <c r="K303" s="6" t="n">
        <v>-5.31</v>
      </c>
      <c r="L303" s="6" t="n">
        <v>0</v>
      </c>
      <c r="M303" s="6" t="s">
        <f>=I303+J303+K303+L303</f>
      </c>
      <c r="N303" s="6"/>
      <c r="O303" s="16"/>
    </row>
    <row collapsed="false" customFormat="false" customHeight="false" hidden="false" ht="12.1" outlineLevel="0" r="304">
      <c r="A304" s="20" t="n">
        <v>45369.573252315</v>
      </c>
      <c r="B304" s="16" t="s">
        <v>138</v>
      </c>
      <c r="C304" s="16" t="s">
        <v>789</v>
      </c>
      <c r="D304" s="16" t="s">
        <v>587</v>
      </c>
      <c r="E304" s="16" t="s">
        <v>135</v>
      </c>
      <c r="F304" s="16" t="s">
        <v>20</v>
      </c>
      <c r="G304" s="7" t="n">
        <v>10</v>
      </c>
      <c r="H304" s="6" t="n">
        <v>64.47</v>
      </c>
      <c r="I304" s="6" t="n">
        <v>-6447</v>
      </c>
      <c r="J304" s="6" t="n">
        <v>-65.2</v>
      </c>
      <c r="K304" s="6" t="n">
        <v>-3.77</v>
      </c>
      <c r="L304" s="6" t="n">
        <v>0</v>
      </c>
      <c r="M304" s="6" t="s">
        <f>=I304+J304+K304+L304</f>
      </c>
      <c r="N304" s="6"/>
      <c r="O304" s="16"/>
    </row>
    <row collapsed="false" customFormat="false" customHeight="false" hidden="false" ht="12.1" outlineLevel="0" r="305">
      <c r="A305" s="20" t="n">
        <v>45369.576759259</v>
      </c>
      <c r="B305" s="16" t="s">
        <v>134</v>
      </c>
      <c r="C305" s="16" t="s">
        <v>790</v>
      </c>
      <c r="D305" s="16" t="s">
        <v>587</v>
      </c>
      <c r="E305" s="16" t="s">
        <v>135</v>
      </c>
      <c r="F305" s="16" t="s">
        <v>20</v>
      </c>
      <c r="G305" s="7" t="n">
        <v>10</v>
      </c>
      <c r="H305" s="6" t="n">
        <v>60.798</v>
      </c>
      <c r="I305" s="6" t="n">
        <v>-6079.8</v>
      </c>
      <c r="J305" s="6" t="n">
        <v>-202.3</v>
      </c>
      <c r="K305" s="6" t="n">
        <v>-3.56</v>
      </c>
      <c r="L305" s="6" t="n">
        <v>0</v>
      </c>
      <c r="M305" s="6" t="s">
        <f>=I305+J305+K305+L305</f>
      </c>
      <c r="N305" s="6"/>
      <c r="O305" s="16"/>
    </row>
    <row collapsed="false" customFormat="false" customHeight="false" hidden="false" ht="12.1" outlineLevel="0" r="306">
      <c r="A306" s="20" t="n">
        <v>45379.728530093</v>
      </c>
      <c r="B306" s="16" t="s">
        <v>150</v>
      </c>
      <c r="C306" s="16" t="s">
        <v>791</v>
      </c>
      <c r="D306" s="16" t="s">
        <v>587</v>
      </c>
      <c r="E306" s="16" t="s">
        <v>135</v>
      </c>
      <c r="F306" s="16" t="s">
        <v>20</v>
      </c>
      <c r="G306" s="7" t="n">
        <v>10</v>
      </c>
      <c r="H306" s="6" t="n">
        <v>73.499</v>
      </c>
      <c r="I306" s="6" t="n">
        <v>-7349.9</v>
      </c>
      <c r="J306" s="6" t="n">
        <v>-373.4</v>
      </c>
      <c r="K306" s="6" t="n">
        <v>-4.3</v>
      </c>
      <c r="L306" s="6" t="n">
        <v>0</v>
      </c>
      <c r="M306" s="6" t="s">
        <f>=I306+J306+K306+L306</f>
      </c>
      <c r="N306" s="6"/>
      <c r="O306" s="16"/>
    </row>
    <row collapsed="false" customFormat="false" customHeight="false" hidden="false" ht="12.1" outlineLevel="0" r="307">
      <c r="A307" s="25" t="n">
        <v>45379.729502315</v>
      </c>
      <c r="B307" s="26" t="s">
        <v>128</v>
      </c>
      <c r="C307" s="26" t="s">
        <v>721</v>
      </c>
      <c r="D307" s="26" t="s">
        <v>588</v>
      </c>
      <c r="E307" s="26" t="s">
        <v>122</v>
      </c>
      <c r="F307" s="26" t="s">
        <v>20</v>
      </c>
      <c r="G307" s="27" t="n">
        <v>-5660</v>
      </c>
      <c r="H307" s="28" t="n">
        <v>1.37</v>
      </c>
      <c r="I307" s="28" t="n">
        <v>7754.2</v>
      </c>
      <c r="J307" s="28" t="n">
        <v>0</v>
      </c>
      <c r="K307" s="28" t="n">
        <v>0</v>
      </c>
      <c r="L307" s="28" t="n">
        <v>0</v>
      </c>
      <c r="M307" s="6" t="s">
        <f>=I307+J307+K307+L307</f>
      </c>
      <c r="N307" s="28"/>
      <c r="O307" s="26"/>
    </row>
    <row collapsed="false" customFormat="false" customHeight="false" hidden="false" ht="12.1" outlineLevel="0" r="308">
      <c r="A308" s="29" t="n">
        <v>45380</v>
      </c>
      <c r="B308" s="30" t="s">
        <v>792</v>
      </c>
      <c r="C308" s="30" t="s">
        <v>793</v>
      </c>
      <c r="D308" s="30" t="s">
        <v>792</v>
      </c>
      <c r="E308" s="30" t="s">
        <v>792</v>
      </c>
      <c r="F308" s="30" t="s">
        <v>20</v>
      </c>
      <c r="G308" s="31" t="n">
        <v>1</v>
      </c>
      <c r="H308" s="32" t="n">
        <v>-6.41</v>
      </c>
      <c r="I308" s="32" t="n">
        <v>-6.41</v>
      </c>
      <c r="J308" s="32" t="n">
        <v>0</v>
      </c>
      <c r="K308" s="32" t="n">
        <v>0</v>
      </c>
      <c r="L308" s="32" t="n">
        <v>0</v>
      </c>
      <c r="M308" s="6" t="s">
        <f>=I308+J308+K308+L308</f>
      </c>
      <c r="N308" s="32"/>
      <c r="O308" s="30"/>
    </row>
    <row collapsed="false" customFormat="false" customHeight="false" hidden="false" ht="12.1" outlineLevel="0" r="309">
      <c r="A309" s="20" t="n">
        <v>45380.484722222</v>
      </c>
      <c r="B309" s="16" t="s">
        <v>86</v>
      </c>
      <c r="C309" s="16" t="s">
        <v>794</v>
      </c>
      <c r="D309" s="16" t="s">
        <v>587</v>
      </c>
      <c r="E309" s="16" t="s">
        <v>18</v>
      </c>
      <c r="F309" s="16" t="s">
        <v>20</v>
      </c>
      <c r="G309" s="7" t="n">
        <v>5</v>
      </c>
      <c r="H309" s="6" t="n">
        <v>875</v>
      </c>
      <c r="I309" s="6" t="n">
        <v>-4375</v>
      </c>
      <c r="J309" s="6" t="n">
        <v>0</v>
      </c>
      <c r="K309" s="6" t="n">
        <v>-2.19</v>
      </c>
      <c r="L309" s="6" t="n">
        <v>0</v>
      </c>
      <c r="M309" s="6" t="s">
        <f>=I309+J309+K309+L309</f>
      </c>
      <c r="N309" s="6"/>
      <c r="O309" s="16"/>
    </row>
    <row collapsed="false" customFormat="false" customHeight="false" hidden="false" ht="12.1" outlineLevel="0" r="310">
      <c r="A310" s="25" t="n">
        <v>45380.661944444</v>
      </c>
      <c r="B310" s="26" t="s">
        <v>86</v>
      </c>
      <c r="C310" s="26" t="s">
        <v>794</v>
      </c>
      <c r="D310" s="26" t="s">
        <v>588</v>
      </c>
      <c r="E310" s="26" t="s">
        <v>18</v>
      </c>
      <c r="F310" s="26" t="s">
        <v>20</v>
      </c>
      <c r="G310" s="27" t="n">
        <v>-5</v>
      </c>
      <c r="H310" s="28" t="n">
        <v>993.7</v>
      </c>
      <c r="I310" s="28" t="n">
        <v>4968.5</v>
      </c>
      <c r="J310" s="28" t="n">
        <v>0</v>
      </c>
      <c r="K310" s="28" t="n">
        <v>-2.48</v>
      </c>
      <c r="L310" s="28" t="n">
        <v>0</v>
      </c>
      <c r="M310" s="6" t="s">
        <f>=I310+J310+K310+L310</f>
      </c>
      <c r="N310" s="28"/>
      <c r="O310" s="26"/>
    </row>
    <row collapsed="false" customFormat="false" customHeight="false" hidden="false" ht="12.1" outlineLevel="0" r="311">
      <c r="A311" s="29" t="n">
        <v>45383</v>
      </c>
      <c r="B311" s="30" t="s">
        <v>792</v>
      </c>
      <c r="C311" s="30" t="s">
        <v>795</v>
      </c>
      <c r="D311" s="30" t="s">
        <v>792</v>
      </c>
      <c r="E311" s="30" t="s">
        <v>792</v>
      </c>
      <c r="F311" s="30" t="s">
        <v>20</v>
      </c>
      <c r="G311" s="31" t="n">
        <v>1</v>
      </c>
      <c r="H311" s="32" t="n">
        <v>-1.75</v>
      </c>
      <c r="I311" s="32" t="n">
        <v>-1.75</v>
      </c>
      <c r="J311" s="32" t="n">
        <v>0</v>
      </c>
      <c r="K311" s="32" t="n">
        <v>0</v>
      </c>
      <c r="L311" s="32" t="n">
        <v>0</v>
      </c>
      <c r="M311" s="6" t="s">
        <f>=I311+J311+K311+L311</f>
      </c>
      <c r="N311" s="32"/>
      <c r="O311" s="30"/>
    </row>
    <row collapsed="false" customFormat="false" customHeight="false" hidden="false" ht="12.1" outlineLevel="0" r="312">
      <c r="A312" s="20" t="n">
        <v>45383.460023148</v>
      </c>
      <c r="B312" s="16" t="s">
        <v>128</v>
      </c>
      <c r="C312" s="16" t="s">
        <v>721</v>
      </c>
      <c r="D312" s="16" t="s">
        <v>587</v>
      </c>
      <c r="E312" s="16" t="s">
        <v>122</v>
      </c>
      <c r="F312" s="16" t="s">
        <v>20</v>
      </c>
      <c r="G312" s="7" t="n">
        <v>450</v>
      </c>
      <c r="H312" s="6" t="n">
        <v>1.3725</v>
      </c>
      <c r="I312" s="6" t="n">
        <v>-617.63</v>
      </c>
      <c r="J312" s="6" t="n">
        <v>0</v>
      </c>
      <c r="K312" s="6" t="n">
        <v>0</v>
      </c>
      <c r="L312" s="6" t="n">
        <v>0</v>
      </c>
      <c r="M312" s="6" t="s">
        <f>=I312+J312+K312+L312</f>
      </c>
      <c r="N312" s="6"/>
      <c r="O312" s="16"/>
    </row>
    <row collapsed="false" customFormat="false" customHeight="false" hidden="false" ht="12.1" outlineLevel="0" r="313">
      <c r="A313" s="21" t="n">
        <v>45391</v>
      </c>
      <c r="B313" s="22" t="s">
        <v>710</v>
      </c>
      <c r="C313" s="22" t="s">
        <v>255</v>
      </c>
      <c r="D313" s="22" t="s">
        <v>710</v>
      </c>
      <c r="E313" s="22" t="s">
        <v>710</v>
      </c>
      <c r="F313" s="22" t="s">
        <v>20</v>
      </c>
      <c r="G313" s="23" t="n">
        <v>1</v>
      </c>
      <c r="H313" s="24" t="n">
        <v>129</v>
      </c>
      <c r="I313" s="24" t="n">
        <v>129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4"/>
      <c r="O313" s="22"/>
    </row>
    <row collapsed="false" customFormat="false" customHeight="false" hidden="false" ht="12.1" outlineLevel="0" r="314">
      <c r="A314" s="20" t="n">
        <v>45391.622928241</v>
      </c>
      <c r="B314" s="16" t="s">
        <v>180</v>
      </c>
      <c r="C314" s="16" t="s">
        <v>796</v>
      </c>
      <c r="D314" s="16" t="s">
        <v>587</v>
      </c>
      <c r="E314" s="16" t="s">
        <v>135</v>
      </c>
      <c r="F314" s="16" t="s">
        <v>20</v>
      </c>
      <c r="G314" s="7" t="n">
        <v>7</v>
      </c>
      <c r="H314" s="6" t="n">
        <v>73.48</v>
      </c>
      <c r="I314" s="6" t="n">
        <v>-5143.6</v>
      </c>
      <c r="J314" s="6" t="n">
        <v>-98.35</v>
      </c>
      <c r="K314" s="6" t="n">
        <v>-3.09</v>
      </c>
      <c r="L314" s="6" t="n">
        <v>0</v>
      </c>
      <c r="M314" s="6" t="s">
        <f>=I314+J314+K314+L314</f>
      </c>
      <c r="N314" s="6"/>
      <c r="O314" s="16"/>
    </row>
    <row collapsed="false" customFormat="false" customHeight="false" hidden="false" ht="12.1" outlineLevel="0" r="315">
      <c r="A315" s="20" t="n">
        <v>45391.625104167</v>
      </c>
      <c r="B315" s="16" t="s">
        <v>171</v>
      </c>
      <c r="C315" s="16" t="s">
        <v>797</v>
      </c>
      <c r="D315" s="16" t="s">
        <v>587</v>
      </c>
      <c r="E315" s="16" t="s">
        <v>135</v>
      </c>
      <c r="F315" s="16" t="s">
        <v>20</v>
      </c>
      <c r="G315" s="7" t="n">
        <v>7</v>
      </c>
      <c r="H315" s="6" t="n">
        <v>76.29</v>
      </c>
      <c r="I315" s="6" t="n">
        <v>-5340.3</v>
      </c>
      <c r="J315" s="6" t="n">
        <v>-35.63</v>
      </c>
      <c r="K315" s="6" t="n">
        <v>-3.21</v>
      </c>
      <c r="L315" s="6" t="n">
        <v>0</v>
      </c>
      <c r="M315" s="6" t="s">
        <f>=I315+J315+K315+L315</f>
      </c>
      <c r="N315" s="6"/>
      <c r="O315" s="16"/>
    </row>
    <row collapsed="false" customFormat="false" customHeight="false" hidden="false" ht="12.1" outlineLevel="0" r="316">
      <c r="A316" s="20" t="n">
        <v>45391.626979167</v>
      </c>
      <c r="B316" s="16" t="s">
        <v>144</v>
      </c>
      <c r="C316" s="16" t="s">
        <v>788</v>
      </c>
      <c r="D316" s="16" t="s">
        <v>587</v>
      </c>
      <c r="E316" s="16" t="s">
        <v>135</v>
      </c>
      <c r="F316" s="16" t="s">
        <v>20</v>
      </c>
      <c r="G316" s="7" t="n">
        <v>10</v>
      </c>
      <c r="H316" s="6" t="n">
        <v>89.15</v>
      </c>
      <c r="I316" s="6" t="n">
        <v>-8915</v>
      </c>
      <c r="J316" s="6" t="n">
        <v>-43.2</v>
      </c>
      <c r="K316" s="6" t="n">
        <v>-5.35</v>
      </c>
      <c r="L316" s="6" t="n">
        <v>0</v>
      </c>
      <c r="M316" s="6" t="s">
        <f>=I316+J316+K316+L316</f>
      </c>
      <c r="N316" s="6"/>
      <c r="O316" s="16"/>
    </row>
    <row collapsed="false" customFormat="false" customHeight="false" hidden="false" ht="12.1" outlineLevel="0" r="317">
      <c r="A317" s="25" t="n">
        <v>45391.628923611</v>
      </c>
      <c r="B317" s="26" t="s">
        <v>128</v>
      </c>
      <c r="C317" s="26" t="s">
        <v>721</v>
      </c>
      <c r="D317" s="26" t="s">
        <v>588</v>
      </c>
      <c r="E317" s="26" t="s">
        <v>122</v>
      </c>
      <c r="F317" s="26" t="s">
        <v>20</v>
      </c>
      <c r="G317" s="27" t="n">
        <v>-14230</v>
      </c>
      <c r="H317" s="28" t="n">
        <v>1.377</v>
      </c>
      <c r="I317" s="28" t="n">
        <v>19594.71</v>
      </c>
      <c r="J317" s="28" t="n">
        <v>0</v>
      </c>
      <c r="K317" s="28" t="n">
        <v>0</v>
      </c>
      <c r="L317" s="28" t="n">
        <v>0</v>
      </c>
      <c r="M317" s="6" t="s">
        <f>=I317+J317+K317+L317</f>
      </c>
      <c r="N317" s="28"/>
      <c r="O317" s="26"/>
    </row>
    <row collapsed="false" customFormat="false" customHeight="false" hidden="false" ht="12.1" outlineLevel="0" r="318">
      <c r="A318" s="29" t="n">
        <v>45394</v>
      </c>
      <c r="B318" s="30" t="s">
        <v>792</v>
      </c>
      <c r="C318" s="30" t="s">
        <v>793</v>
      </c>
      <c r="D318" s="30" t="s">
        <v>792</v>
      </c>
      <c r="E318" s="30" t="s">
        <v>792</v>
      </c>
      <c r="F318" s="30" t="s">
        <v>20</v>
      </c>
      <c r="G318" s="31" t="n">
        <v>1</v>
      </c>
      <c r="H318" s="32" t="n">
        <v>-3.28</v>
      </c>
      <c r="I318" s="32" t="n">
        <v>-3.28</v>
      </c>
      <c r="J318" s="32" t="n">
        <v>0</v>
      </c>
      <c r="K318" s="32" t="n">
        <v>0</v>
      </c>
      <c r="L318" s="32" t="n">
        <v>0</v>
      </c>
      <c r="M318" s="6" t="s">
        <f>=I318+J318+K318+L318</f>
      </c>
      <c r="N318" s="32"/>
      <c r="O318" s="30"/>
    </row>
    <row collapsed="false" customFormat="false" customHeight="false" hidden="false" ht="12.1" outlineLevel="0" r="319">
      <c r="A319" s="20" t="n">
        <v>45394.491111111</v>
      </c>
      <c r="B319" s="16" t="s">
        <v>610</v>
      </c>
      <c r="C319" s="16" t="s">
        <v>798</v>
      </c>
      <c r="D319" s="16" t="s">
        <v>587</v>
      </c>
      <c r="E319" s="16" t="s">
        <v>18</v>
      </c>
      <c r="F319" s="16" t="s">
        <v>20</v>
      </c>
      <c r="G319" s="7" t="n">
        <v>10</v>
      </c>
      <c r="H319" s="6" t="n">
        <v>235</v>
      </c>
      <c r="I319" s="6" t="n">
        <v>-2350</v>
      </c>
      <c r="J319" s="6" t="n">
        <v>0</v>
      </c>
      <c r="K319" s="6" t="n">
        <v>-1.18</v>
      </c>
      <c r="L319" s="6" t="n">
        <v>0</v>
      </c>
      <c r="M319" s="6" t="s">
        <f>=I319+J319+K319+L319</f>
      </c>
      <c r="N319" s="6"/>
      <c r="O319" s="16"/>
    </row>
    <row collapsed="false" customFormat="false" customHeight="false" hidden="false" ht="12.1" outlineLevel="0" r="320">
      <c r="A320" s="25" t="n">
        <v>45394.666319444</v>
      </c>
      <c r="B320" s="26" t="s">
        <v>610</v>
      </c>
      <c r="C320" s="26" t="s">
        <v>798</v>
      </c>
      <c r="D320" s="26" t="s">
        <v>588</v>
      </c>
      <c r="E320" s="26" t="s">
        <v>18</v>
      </c>
      <c r="F320" s="26" t="s">
        <v>20</v>
      </c>
      <c r="G320" s="27" t="n">
        <v>-10</v>
      </c>
      <c r="H320" s="28" t="n">
        <v>238.65</v>
      </c>
      <c r="I320" s="28" t="n">
        <v>2386.5</v>
      </c>
      <c r="J320" s="28" t="n">
        <v>0</v>
      </c>
      <c r="K320" s="28" t="n">
        <v>-1.9</v>
      </c>
      <c r="L320" s="28" t="n">
        <v>0</v>
      </c>
      <c r="M320" s="6" t="s">
        <f>=I320+J320+K320+L320</f>
      </c>
      <c r="N320" s="28"/>
      <c r="O320" s="26"/>
    </row>
    <row collapsed="false" customFormat="false" customHeight="false" hidden="false" ht="12.1" outlineLevel="0" r="321">
      <c r="A321" s="29" t="n">
        <v>45397</v>
      </c>
      <c r="B321" s="30" t="s">
        <v>792</v>
      </c>
      <c r="C321" s="30" t="s">
        <v>795</v>
      </c>
      <c r="D321" s="30" t="s">
        <v>792</v>
      </c>
      <c r="E321" s="30" t="s">
        <v>792</v>
      </c>
      <c r="F321" s="30" t="s">
        <v>20</v>
      </c>
      <c r="G321" s="31" t="n">
        <v>1</v>
      </c>
      <c r="H321" s="32" t="n">
        <v>-0.89</v>
      </c>
      <c r="I321" s="32" t="n">
        <v>-0.89</v>
      </c>
      <c r="J321" s="32" t="n">
        <v>0</v>
      </c>
      <c r="K321" s="32" t="n">
        <v>0</v>
      </c>
      <c r="L321" s="32" t="n">
        <v>0</v>
      </c>
      <c r="M321" s="6" t="s">
        <f>=I321+J321+K321+L321</f>
      </c>
      <c r="N321" s="32"/>
      <c r="O321" s="30"/>
    </row>
    <row collapsed="false" customFormat="false" customHeight="false" hidden="false" ht="12.1" outlineLevel="0" r="322">
      <c r="A322" s="20" t="n">
        <v>45397.668506944</v>
      </c>
      <c r="B322" s="16" t="s">
        <v>128</v>
      </c>
      <c r="C322" s="16" t="s">
        <v>721</v>
      </c>
      <c r="D322" s="16" t="s">
        <v>587</v>
      </c>
      <c r="E322" s="16" t="s">
        <v>122</v>
      </c>
      <c r="F322" s="16" t="s">
        <v>20</v>
      </c>
      <c r="G322" s="7" t="n">
        <v>120</v>
      </c>
      <c r="H322" s="6" t="n">
        <v>1.3799</v>
      </c>
      <c r="I322" s="6" t="n">
        <v>-165.59</v>
      </c>
      <c r="J322" s="6" t="n">
        <v>0</v>
      </c>
      <c r="K322" s="6" t="n">
        <v>0</v>
      </c>
      <c r="L322" s="6" t="n">
        <v>0</v>
      </c>
      <c r="M322" s="6" t="s">
        <f>=I322+J322+K322+L322</f>
      </c>
      <c r="N322" s="6"/>
      <c r="O322" s="16"/>
    </row>
    <row collapsed="false" customFormat="false" customHeight="false" hidden="false" ht="12.1" outlineLevel="0" r="323">
      <c r="A323" s="21" t="n">
        <v>45400</v>
      </c>
      <c r="B323" s="22" t="s">
        <v>710</v>
      </c>
      <c r="C323" s="22" t="s">
        <v>255</v>
      </c>
      <c r="D323" s="22" t="s">
        <v>710</v>
      </c>
      <c r="E323" s="22" t="s">
        <v>710</v>
      </c>
      <c r="F323" s="22" t="s">
        <v>20</v>
      </c>
      <c r="G323" s="23" t="n">
        <v>1</v>
      </c>
      <c r="H323" s="24" t="n">
        <v>309.43</v>
      </c>
      <c r="I323" s="24" t="n">
        <v>309.43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4"/>
      <c r="O323" s="22"/>
    </row>
    <row collapsed="false" customFormat="false" customHeight="false" hidden="false" ht="12.1" outlineLevel="0" r="324">
      <c r="A324" s="29" t="n">
        <v>45401</v>
      </c>
      <c r="B324" s="30" t="s">
        <v>792</v>
      </c>
      <c r="C324" s="30" t="s">
        <v>793</v>
      </c>
      <c r="D324" s="30" t="s">
        <v>792</v>
      </c>
      <c r="E324" s="30" t="s">
        <v>792</v>
      </c>
      <c r="F324" s="30" t="s">
        <v>20</v>
      </c>
      <c r="G324" s="31" t="n">
        <v>1</v>
      </c>
      <c r="H324" s="32" t="n">
        <v>-2</v>
      </c>
      <c r="I324" s="32" t="n">
        <v>-2</v>
      </c>
      <c r="J324" s="32" t="n">
        <v>0</v>
      </c>
      <c r="K324" s="32" t="n">
        <v>0</v>
      </c>
      <c r="L324" s="32" t="n">
        <v>0</v>
      </c>
      <c r="M324" s="6" t="s">
        <f>=I324+J324+K324+L324</f>
      </c>
      <c r="N324" s="32"/>
      <c r="O324" s="30"/>
    </row>
    <row collapsed="false" customFormat="false" customHeight="false" hidden="false" ht="12.1" outlineLevel="0" r="325">
      <c r="A325" s="20" t="n">
        <v>45401.505115741</v>
      </c>
      <c r="B325" s="16" t="s">
        <v>106</v>
      </c>
      <c r="C325" s="16" t="s">
        <v>799</v>
      </c>
      <c r="D325" s="16" t="s">
        <v>587</v>
      </c>
      <c r="E325" s="16" t="s">
        <v>18</v>
      </c>
      <c r="F325" s="16" t="s">
        <v>20</v>
      </c>
      <c r="G325" s="7" t="n">
        <v>3</v>
      </c>
      <c r="H325" s="6" t="n">
        <v>555</v>
      </c>
      <c r="I325" s="6" t="n">
        <v>-1665</v>
      </c>
      <c r="J325" s="6" t="n">
        <v>0</v>
      </c>
      <c r="K325" s="6" t="n">
        <v>-0.83</v>
      </c>
      <c r="L325" s="6" t="n">
        <v>0</v>
      </c>
      <c r="M325" s="6" t="s">
        <f>=I325+J325+K325+L325</f>
      </c>
      <c r="N325" s="6"/>
      <c r="O325" s="16"/>
    </row>
    <row collapsed="false" customFormat="false" customHeight="false" hidden="false" ht="12.1" outlineLevel="0" r="326">
      <c r="A326" s="25" t="n">
        <v>45401.583402778</v>
      </c>
      <c r="B326" s="26" t="s">
        <v>128</v>
      </c>
      <c r="C326" s="26" t="s">
        <v>721</v>
      </c>
      <c r="D326" s="26" t="s">
        <v>588</v>
      </c>
      <c r="E326" s="26" t="s">
        <v>122</v>
      </c>
      <c r="F326" s="26" t="s">
        <v>20</v>
      </c>
      <c r="G326" s="27" t="n">
        <v>-1150</v>
      </c>
      <c r="H326" s="28" t="n">
        <v>1.3831</v>
      </c>
      <c r="I326" s="28" t="n">
        <v>1590.57</v>
      </c>
      <c r="J326" s="28" t="n">
        <v>0</v>
      </c>
      <c r="K326" s="28" t="n">
        <v>0</v>
      </c>
      <c r="L326" s="28" t="n">
        <v>0</v>
      </c>
      <c r="M326" s="6" t="s">
        <f>=I326+J326+K326+L326</f>
      </c>
      <c r="N326" s="28"/>
      <c r="O326" s="26"/>
    </row>
    <row collapsed="false" customFormat="false" customHeight="false" hidden="false" ht="12.1" outlineLevel="0" r="327">
      <c r="A327" s="29" t="n">
        <v>45404</v>
      </c>
      <c r="B327" s="30" t="s">
        <v>792</v>
      </c>
      <c r="C327" s="30" t="s">
        <v>795</v>
      </c>
      <c r="D327" s="30" t="s">
        <v>792</v>
      </c>
      <c r="E327" s="30" t="s">
        <v>792</v>
      </c>
      <c r="F327" s="30" t="s">
        <v>20</v>
      </c>
      <c r="G327" s="31" t="n">
        <v>1</v>
      </c>
      <c r="H327" s="32" t="n">
        <v>-0.55</v>
      </c>
      <c r="I327" s="32" t="n">
        <v>-0.55</v>
      </c>
      <c r="J327" s="32" t="n">
        <v>0</v>
      </c>
      <c r="K327" s="32" t="n">
        <v>0</v>
      </c>
      <c r="L327" s="32" t="n">
        <v>0</v>
      </c>
      <c r="M327" s="6" t="s">
        <f>=I327+J327+K327+L327</f>
      </c>
      <c r="N327" s="32"/>
      <c r="O327" s="30"/>
    </row>
    <row collapsed="false" customFormat="false" customHeight="false" hidden="false" ht="12.1" outlineLevel="0" r="328">
      <c r="A328" s="20" t="n">
        <v>45404.585092593</v>
      </c>
      <c r="B328" s="16" t="s">
        <v>128</v>
      </c>
      <c r="C328" s="16" t="s">
        <v>721</v>
      </c>
      <c r="D328" s="16" t="s">
        <v>587</v>
      </c>
      <c r="E328" s="16" t="s">
        <v>122</v>
      </c>
      <c r="F328" s="16" t="s">
        <v>20</v>
      </c>
      <c r="G328" s="7" t="n">
        <v>165</v>
      </c>
      <c r="H328" s="6" t="n">
        <v>1.384</v>
      </c>
      <c r="I328" s="6" t="n">
        <v>-228.36</v>
      </c>
      <c r="J328" s="6" t="n">
        <v>0</v>
      </c>
      <c r="K328" s="6" t="n">
        <v>0</v>
      </c>
      <c r="L328" s="6" t="n">
        <v>0</v>
      </c>
      <c r="M328" s="6" t="s">
        <f>=I328+J328+K328+L328</f>
      </c>
      <c r="N328" s="6"/>
      <c r="O328" s="16"/>
    </row>
    <row collapsed="false" customFormat="false" customHeight="false" hidden="false" ht="12.1" outlineLevel="0" r="329">
      <c r="A329" s="21" t="n">
        <v>45407</v>
      </c>
      <c r="B329" s="22" t="s">
        <v>710</v>
      </c>
      <c r="C329" s="22" t="s">
        <v>255</v>
      </c>
      <c r="D329" s="22" t="s">
        <v>710</v>
      </c>
      <c r="E329" s="22" t="s">
        <v>710</v>
      </c>
      <c r="F329" s="22" t="s">
        <v>20</v>
      </c>
      <c r="G329" s="23" t="n">
        <v>2</v>
      </c>
      <c r="H329" s="24" t="n">
        <v>97.285</v>
      </c>
      <c r="I329" s="24" t="n">
        <v>194.57</v>
      </c>
      <c r="J329" s="24" t="n">
        <v>0</v>
      </c>
      <c r="K329" s="24" t="n">
        <v>0</v>
      </c>
      <c r="L329" s="24" t="n">
        <v>0</v>
      </c>
      <c r="M329" s="6" t="s">
        <f>=I329+J329+K329+L329</f>
      </c>
      <c r="N329" s="24"/>
      <c r="O329" s="22"/>
    </row>
    <row collapsed="false" customFormat="false" customHeight="false" hidden="false" ht="12.1" outlineLevel="0" r="330">
      <c r="A330" s="29" t="n">
        <v>45408</v>
      </c>
      <c r="B330" s="30" t="s">
        <v>792</v>
      </c>
      <c r="C330" s="30" t="s">
        <v>793</v>
      </c>
      <c r="D330" s="30" t="s">
        <v>792</v>
      </c>
      <c r="E330" s="30" t="s">
        <v>792</v>
      </c>
      <c r="F330" s="30" t="s">
        <v>20</v>
      </c>
      <c r="G330" s="31" t="n">
        <v>1</v>
      </c>
      <c r="H330" s="32" t="n">
        <v>-1.1</v>
      </c>
      <c r="I330" s="32" t="n">
        <v>-1.1</v>
      </c>
      <c r="J330" s="32" t="n">
        <v>0</v>
      </c>
      <c r="K330" s="32" t="n">
        <v>0</v>
      </c>
      <c r="L330" s="32" t="n">
        <v>0</v>
      </c>
      <c r="M330" s="6" t="s">
        <f>=I330+J330+K330+L330</f>
      </c>
      <c r="N330" s="32"/>
      <c r="O330" s="30"/>
    </row>
    <row collapsed="false" customFormat="false" customHeight="false" hidden="false" ht="12.1" outlineLevel="0" r="331">
      <c r="A331" s="21" t="n">
        <v>45408</v>
      </c>
      <c r="B331" s="22" t="s">
        <v>710</v>
      </c>
      <c r="C331" s="22" t="s">
        <v>255</v>
      </c>
      <c r="D331" s="22" t="s">
        <v>710</v>
      </c>
      <c r="E331" s="22" t="s">
        <v>710</v>
      </c>
      <c r="F331" s="22" t="s">
        <v>20</v>
      </c>
      <c r="G331" s="23" t="n">
        <v>1</v>
      </c>
      <c r="H331" s="24" t="n">
        <v>81.14</v>
      </c>
      <c r="I331" s="24" t="n">
        <v>81.14</v>
      </c>
      <c r="J331" s="24" t="n">
        <v>0</v>
      </c>
      <c r="K331" s="24" t="n">
        <v>0</v>
      </c>
      <c r="L331" s="24" t="n">
        <v>0</v>
      </c>
      <c r="M331" s="6" t="s">
        <f>=I331+J331+K331+L331</f>
      </c>
      <c r="N331" s="24"/>
      <c r="O331" s="22"/>
    </row>
    <row collapsed="false" customFormat="false" customHeight="false" hidden="false" ht="12.1" outlineLevel="0" r="332">
      <c r="A332" s="20" t="n">
        <v>45408.462025463</v>
      </c>
      <c r="B332" s="16" t="s">
        <v>611</v>
      </c>
      <c r="C332" s="16" t="s">
        <v>800</v>
      </c>
      <c r="D332" s="16" t="s">
        <v>587</v>
      </c>
      <c r="E332" s="16" t="s">
        <v>18</v>
      </c>
      <c r="F332" s="16" t="s">
        <v>20</v>
      </c>
      <c r="G332" s="7" t="n">
        <v>1</v>
      </c>
      <c r="H332" s="6" t="n">
        <v>2500</v>
      </c>
      <c r="I332" s="6" t="n">
        <v>-2500</v>
      </c>
      <c r="J332" s="6" t="n">
        <v>0</v>
      </c>
      <c r="K332" s="6" t="n">
        <v>-1.25</v>
      </c>
      <c r="L332" s="6" t="n">
        <v>0</v>
      </c>
      <c r="M332" s="6" t="s">
        <f>=I332+J332+K332+L332</f>
      </c>
      <c r="N332" s="6"/>
      <c r="O332" s="16"/>
    </row>
    <row collapsed="false" customFormat="false" customHeight="false" hidden="false" ht="12.1" outlineLevel="0" r="333">
      <c r="A333" s="25" t="n">
        <v>45408.637106481</v>
      </c>
      <c r="B333" s="26" t="s">
        <v>611</v>
      </c>
      <c r="C333" s="26" t="s">
        <v>800</v>
      </c>
      <c r="D333" s="26" t="s">
        <v>588</v>
      </c>
      <c r="E333" s="26" t="s">
        <v>18</v>
      </c>
      <c r="F333" s="26" t="s">
        <v>20</v>
      </c>
      <c r="G333" s="27" t="n">
        <v>-1</v>
      </c>
      <c r="H333" s="28" t="n">
        <v>2666</v>
      </c>
      <c r="I333" s="28" t="n">
        <v>2666</v>
      </c>
      <c r="J333" s="28" t="n">
        <v>0</v>
      </c>
      <c r="K333" s="28" t="n">
        <v>-1.33</v>
      </c>
      <c r="L333" s="28" t="n">
        <v>0</v>
      </c>
      <c r="M333" s="6" t="s">
        <f>=I333+J333+K333+L333</f>
      </c>
      <c r="N333" s="28"/>
      <c r="O333" s="26"/>
    </row>
    <row collapsed="false" customFormat="false" customHeight="false" hidden="false" ht="12.1" outlineLevel="0" r="334">
      <c r="A334" s="29" t="n">
        <v>45409</v>
      </c>
      <c r="B334" s="30" t="s">
        <v>792</v>
      </c>
      <c r="C334" s="30" t="s">
        <v>795</v>
      </c>
      <c r="D334" s="30" t="s">
        <v>792</v>
      </c>
      <c r="E334" s="30" t="s">
        <v>792</v>
      </c>
      <c r="F334" s="30" t="s">
        <v>20</v>
      </c>
      <c r="G334" s="31" t="n">
        <v>1</v>
      </c>
      <c r="H334" s="32" t="n">
        <v>-0.3</v>
      </c>
      <c r="I334" s="32" t="n">
        <v>-0.3</v>
      </c>
      <c r="J334" s="32" t="n">
        <v>0</v>
      </c>
      <c r="K334" s="32" t="n">
        <v>0</v>
      </c>
      <c r="L334" s="32" t="n">
        <v>0</v>
      </c>
      <c r="M334" s="6" t="s">
        <f>=I334+J334+K334+L334</f>
      </c>
      <c r="N334" s="32"/>
      <c r="O334" s="30"/>
    </row>
    <row collapsed="false" customFormat="false" customHeight="false" hidden="false" ht="12.1" outlineLevel="0" r="335">
      <c r="A335" s="20" t="n">
        <v>45409.869409722</v>
      </c>
      <c r="B335" s="16" t="s">
        <v>128</v>
      </c>
      <c r="C335" s="16" t="s">
        <v>721</v>
      </c>
      <c r="D335" s="16" t="s">
        <v>587</v>
      </c>
      <c r="E335" s="16" t="s">
        <v>122</v>
      </c>
      <c r="F335" s="16" t="s">
        <v>20</v>
      </c>
      <c r="G335" s="7" t="n">
        <v>315</v>
      </c>
      <c r="H335" s="6" t="n">
        <v>1.3878</v>
      </c>
      <c r="I335" s="6" t="n">
        <v>-437.16</v>
      </c>
      <c r="J335" s="6" t="n">
        <v>0</v>
      </c>
      <c r="K335" s="6" t="n">
        <v>0</v>
      </c>
      <c r="L335" s="6" t="n">
        <v>0</v>
      </c>
      <c r="M335" s="6" t="s">
        <f>=I335+J335+K335+L335</f>
      </c>
      <c r="N335" s="6"/>
      <c r="O335" s="16"/>
    </row>
    <row collapsed="false" customFormat="false" customHeight="false" hidden="false" ht="12.1" outlineLevel="0" r="336">
      <c r="A336" s="21" t="n">
        <v>45414</v>
      </c>
      <c r="B336" s="22" t="s">
        <v>710</v>
      </c>
      <c r="C336" s="22" t="s">
        <v>255</v>
      </c>
      <c r="D336" s="22" t="s">
        <v>710</v>
      </c>
      <c r="E336" s="22" t="s">
        <v>710</v>
      </c>
      <c r="F336" s="22" t="s">
        <v>20</v>
      </c>
      <c r="G336" s="23" t="n">
        <v>1</v>
      </c>
      <c r="H336" s="24" t="n">
        <v>69.6</v>
      </c>
      <c r="I336" s="24" t="n">
        <v>69.6</v>
      </c>
      <c r="J336" s="24" t="n">
        <v>0</v>
      </c>
      <c r="K336" s="24" t="n">
        <v>0</v>
      </c>
      <c r="L336" s="24" t="n">
        <v>0</v>
      </c>
      <c r="M336" s="6" t="s">
        <f>=I336+J336+K336+L336</f>
      </c>
      <c r="N336" s="24"/>
      <c r="O336" s="22"/>
    </row>
    <row collapsed="false" customFormat="false" customHeight="false" hidden="false" ht="12.1" outlineLevel="0" r="337">
      <c r="A337" s="20" t="n">
        <v>45414.758298611</v>
      </c>
      <c r="B337" s="16" t="s">
        <v>128</v>
      </c>
      <c r="C337" s="16" t="s">
        <v>721</v>
      </c>
      <c r="D337" s="16" t="s">
        <v>587</v>
      </c>
      <c r="E337" s="16" t="s">
        <v>122</v>
      </c>
      <c r="F337" s="16" t="s">
        <v>20</v>
      </c>
      <c r="G337" s="7" t="n">
        <v>53</v>
      </c>
      <c r="H337" s="6" t="n">
        <v>1.39</v>
      </c>
      <c r="I337" s="6" t="n">
        <v>-73.67</v>
      </c>
      <c r="J337" s="6" t="n">
        <v>0</v>
      </c>
      <c r="K337" s="6" t="n">
        <v>0</v>
      </c>
      <c r="L337" s="6" t="n">
        <v>0</v>
      </c>
      <c r="M337" s="6" t="s">
        <f>=I337+J337+K337+L337</f>
      </c>
      <c r="N337" s="6"/>
      <c r="O337" s="16"/>
    </row>
    <row collapsed="false" customFormat="false" customHeight="false" hidden="false" ht="12.1" outlineLevel="0" r="338">
      <c r="A338" s="20" t="n">
        <v>45418.576331019</v>
      </c>
      <c r="B338" s="16" t="s">
        <v>60</v>
      </c>
      <c r="C338" s="16" t="s">
        <v>801</v>
      </c>
      <c r="D338" s="16" t="s">
        <v>587</v>
      </c>
      <c r="E338" s="16" t="s">
        <v>18</v>
      </c>
      <c r="F338" s="16" t="s">
        <v>20</v>
      </c>
      <c r="G338" s="7" t="n">
        <v>100</v>
      </c>
      <c r="H338" s="6" t="n">
        <v>35.66</v>
      </c>
      <c r="I338" s="6" t="n">
        <v>-3566</v>
      </c>
      <c r="J338" s="6" t="n">
        <v>0</v>
      </c>
      <c r="K338" s="6" t="n">
        <v>-2.85</v>
      </c>
      <c r="L338" s="6" t="n">
        <v>0</v>
      </c>
      <c r="M338" s="6" t="s">
        <f>=I338+J338+K338+L338</f>
      </c>
      <c r="N338" s="6"/>
      <c r="O338" s="16"/>
    </row>
    <row collapsed="false" customFormat="false" customHeight="false" hidden="false" ht="12.1" outlineLevel="0" r="339">
      <c r="A339" s="20" t="n">
        <v>45418.577303241</v>
      </c>
      <c r="B339" s="16" t="s">
        <v>126</v>
      </c>
      <c r="C339" s="16" t="s">
        <v>776</v>
      </c>
      <c r="D339" s="16" t="s">
        <v>587</v>
      </c>
      <c r="E339" s="16" t="s">
        <v>122</v>
      </c>
      <c r="F339" s="16" t="s">
        <v>33</v>
      </c>
      <c r="G339" s="7" t="n">
        <v>100</v>
      </c>
      <c r="H339" s="6" t="n">
        <v>10.77</v>
      </c>
      <c r="I339" s="6" t="n">
        <v>-1077</v>
      </c>
      <c r="J339" s="6" t="n">
        <v>0</v>
      </c>
      <c r="K339" s="6" t="n">
        <v>0</v>
      </c>
      <c r="L339" s="6" t="n">
        <v>0</v>
      </c>
      <c r="M339" s="6"/>
      <c r="N339" s="6" t="s">
        <f>=I339+J339+K339+L339</f>
      </c>
      <c r="O339" s="16"/>
    </row>
    <row collapsed="false" customFormat="false" customHeight="false" hidden="false" ht="12.1" outlineLevel="0" r="340">
      <c r="A340" s="25" t="n">
        <v>45418.57912037</v>
      </c>
      <c r="B340" s="26" t="s">
        <v>128</v>
      </c>
      <c r="C340" s="26" t="s">
        <v>721</v>
      </c>
      <c r="D340" s="26" t="s">
        <v>588</v>
      </c>
      <c r="E340" s="26" t="s">
        <v>122</v>
      </c>
      <c r="F340" s="26" t="s">
        <v>20</v>
      </c>
      <c r="G340" s="27" t="n">
        <v>-2565</v>
      </c>
      <c r="H340" s="28" t="n">
        <v>1.3924</v>
      </c>
      <c r="I340" s="28" t="n">
        <v>3571.51</v>
      </c>
      <c r="J340" s="28" t="n">
        <v>0</v>
      </c>
      <c r="K340" s="28" t="n">
        <v>0</v>
      </c>
      <c r="L340" s="28" t="n">
        <v>0</v>
      </c>
      <c r="M340" s="6" t="s">
        <f>=I340+J340+K340+L340</f>
      </c>
      <c r="N340" s="28"/>
      <c r="O340" s="26"/>
    </row>
    <row collapsed="false" customFormat="false" customHeight="false" hidden="false" ht="12.1" outlineLevel="0" r="341">
      <c r="A341" s="20" t="n">
        <v>45429.669155093</v>
      </c>
      <c r="B341" s="16" t="s">
        <v>138</v>
      </c>
      <c r="C341" s="16" t="s">
        <v>789</v>
      </c>
      <c r="D341" s="16" t="s">
        <v>587</v>
      </c>
      <c r="E341" s="16" t="s">
        <v>135</v>
      </c>
      <c r="F341" s="16" t="s">
        <v>20</v>
      </c>
      <c r="G341" s="7" t="n">
        <v>20</v>
      </c>
      <c r="H341" s="6" t="n">
        <v>60.899</v>
      </c>
      <c r="I341" s="6" t="n">
        <v>-12179.8</v>
      </c>
      <c r="J341" s="6" t="n">
        <v>-368.2</v>
      </c>
      <c r="K341" s="6" t="n">
        <v>-7.13</v>
      </c>
      <c r="L341" s="6" t="n">
        <v>0</v>
      </c>
      <c r="M341" s="6" t="s">
        <f>=I341+J341+K341+L341</f>
      </c>
      <c r="N341" s="6"/>
      <c r="O341" s="16"/>
    </row>
    <row collapsed="false" customFormat="false" customHeight="false" hidden="false" ht="12.1" outlineLevel="0" r="342">
      <c r="A342" s="20" t="n">
        <v>45429.670856481</v>
      </c>
      <c r="B342" s="16" t="s">
        <v>150</v>
      </c>
      <c r="C342" s="16" t="s">
        <v>791</v>
      </c>
      <c r="D342" s="16" t="s">
        <v>587</v>
      </c>
      <c r="E342" s="16" t="s">
        <v>135</v>
      </c>
      <c r="F342" s="16" t="s">
        <v>20</v>
      </c>
      <c r="G342" s="7" t="n">
        <v>15</v>
      </c>
      <c r="H342" s="6" t="n">
        <v>70.054</v>
      </c>
      <c r="I342" s="6" t="n">
        <v>-10508.1</v>
      </c>
      <c r="J342" s="6" t="n">
        <v>-148.65</v>
      </c>
      <c r="K342" s="6" t="n">
        <v>-6.14</v>
      </c>
      <c r="L342" s="6" t="n">
        <v>0</v>
      </c>
      <c r="M342" s="6" t="s">
        <f>=I342+J342+K342+L342</f>
      </c>
      <c r="N342" s="6"/>
      <c r="O342" s="16"/>
    </row>
    <row collapsed="false" customFormat="false" customHeight="false" hidden="false" ht="12.1" outlineLevel="0" r="343">
      <c r="A343" s="20" t="n">
        <v>45429.672002315</v>
      </c>
      <c r="B343" s="16" t="s">
        <v>134</v>
      </c>
      <c r="C343" s="16" t="s">
        <v>790</v>
      </c>
      <c r="D343" s="16" t="s">
        <v>587</v>
      </c>
      <c r="E343" s="16" t="s">
        <v>135</v>
      </c>
      <c r="F343" s="16" t="s">
        <v>20</v>
      </c>
      <c r="G343" s="7" t="n">
        <v>17</v>
      </c>
      <c r="H343" s="6" t="n">
        <v>57.619647058824</v>
      </c>
      <c r="I343" s="6" t="n">
        <v>-9795.34</v>
      </c>
      <c r="J343" s="6" t="n">
        <v>-548.93</v>
      </c>
      <c r="K343" s="6" t="n">
        <v>-5.74</v>
      </c>
      <c r="L343" s="6" t="n">
        <v>0</v>
      </c>
      <c r="M343" s="6" t="s">
        <f>=I343+J343+K343+L343</f>
      </c>
      <c r="N343" s="6"/>
      <c r="O343" s="16"/>
    </row>
    <row collapsed="false" customFormat="false" customHeight="false" hidden="false" ht="12.1" outlineLevel="0" r="344">
      <c r="A344" s="20" t="n">
        <v>45429.673009259</v>
      </c>
      <c r="B344" s="16" t="s">
        <v>156</v>
      </c>
      <c r="C344" s="16" t="s">
        <v>767</v>
      </c>
      <c r="D344" s="16" t="s">
        <v>587</v>
      </c>
      <c r="E344" s="16" t="s">
        <v>135</v>
      </c>
      <c r="F344" s="16" t="s">
        <v>20</v>
      </c>
      <c r="G344" s="7" t="n">
        <v>16</v>
      </c>
      <c r="H344" s="6" t="n">
        <v>75.845</v>
      </c>
      <c r="I344" s="6" t="n">
        <v>-12135.2</v>
      </c>
      <c r="J344" s="6" t="n">
        <v>-179.2</v>
      </c>
      <c r="K344" s="6" t="n">
        <v>-7.11</v>
      </c>
      <c r="L344" s="6" t="n">
        <v>0</v>
      </c>
      <c r="M344" s="6" t="s">
        <f>=I344+J344+K344+L344</f>
      </c>
      <c r="N344" s="6"/>
      <c r="O344" s="16"/>
    </row>
    <row collapsed="false" customFormat="false" customHeight="false" hidden="false" ht="12.1" outlineLevel="0" r="345">
      <c r="A345" s="25" t="n">
        <v>45429.67431713</v>
      </c>
      <c r="B345" s="26" t="s">
        <v>128</v>
      </c>
      <c r="C345" s="26" t="s">
        <v>721</v>
      </c>
      <c r="D345" s="26" t="s">
        <v>588</v>
      </c>
      <c r="E345" s="26" t="s">
        <v>122</v>
      </c>
      <c r="F345" s="26" t="s">
        <v>20</v>
      </c>
      <c r="G345" s="27" t="n">
        <v>-32782</v>
      </c>
      <c r="H345" s="28" t="n">
        <v>1.3998</v>
      </c>
      <c r="I345" s="28" t="n">
        <v>45888.24</v>
      </c>
      <c r="J345" s="28" t="n">
        <v>0</v>
      </c>
      <c r="K345" s="28" t="n">
        <v>0</v>
      </c>
      <c r="L345" s="28" t="n">
        <v>0</v>
      </c>
      <c r="M345" s="6" t="s">
        <f>=I345+J345+K345+L345</f>
      </c>
      <c r="N345" s="28"/>
      <c r="O345" s="26"/>
    </row>
    <row collapsed="false" customFormat="false" customHeight="false" hidden="false" ht="12.1" outlineLevel="0" r="346">
      <c r="A346" s="20" t="n">
        <v>45435.515868056</v>
      </c>
      <c r="B346" s="16" t="s">
        <v>598</v>
      </c>
      <c r="C346" s="16" t="s">
        <v>738</v>
      </c>
      <c r="D346" s="16" t="s">
        <v>587</v>
      </c>
      <c r="E346" s="16" t="s">
        <v>18</v>
      </c>
      <c r="F346" s="16" t="s">
        <v>20</v>
      </c>
      <c r="G346" s="7" t="n">
        <v>5</v>
      </c>
      <c r="H346" s="6" t="n">
        <v>116.6</v>
      </c>
      <c r="I346" s="6" t="n">
        <v>-583</v>
      </c>
      <c r="J346" s="6" t="n">
        <v>0</v>
      </c>
      <c r="K346" s="6" t="n">
        <v>-0.29</v>
      </c>
      <c r="L346" s="6" t="n">
        <v>0</v>
      </c>
      <c r="M346" s="6" t="s">
        <f>=I346+J346+K346+L346</f>
      </c>
      <c r="N346" s="6"/>
      <c r="O346" s="16"/>
    </row>
    <row collapsed="false" customFormat="false" customHeight="false" hidden="false" ht="12.1" outlineLevel="0" r="347">
      <c r="A347" s="25" t="n">
        <v>45435.517152778</v>
      </c>
      <c r="B347" s="26" t="s">
        <v>128</v>
      </c>
      <c r="C347" s="26" t="s">
        <v>721</v>
      </c>
      <c r="D347" s="26" t="s">
        <v>588</v>
      </c>
      <c r="E347" s="26" t="s">
        <v>122</v>
      </c>
      <c r="F347" s="26" t="s">
        <v>20</v>
      </c>
      <c r="G347" s="27" t="n">
        <v>-414</v>
      </c>
      <c r="H347" s="28" t="n">
        <v>1.4023</v>
      </c>
      <c r="I347" s="28" t="n">
        <v>580.55</v>
      </c>
      <c r="J347" s="28" t="n">
        <v>0</v>
      </c>
      <c r="K347" s="28" t="n">
        <v>0</v>
      </c>
      <c r="L347" s="28" t="n">
        <v>0</v>
      </c>
      <c r="M347" s="6" t="s">
        <f>=I347+J347+K347+L347</f>
      </c>
      <c r="N347" s="28"/>
      <c r="O347" s="26"/>
    </row>
    <row collapsed="false" customFormat="false" customHeight="false" hidden="false" ht="12.1" outlineLevel="0" r="348">
      <c r="A348" s="21" t="n">
        <v>45441</v>
      </c>
      <c r="B348" s="22" t="s">
        <v>710</v>
      </c>
      <c r="C348" s="22" t="s">
        <v>255</v>
      </c>
      <c r="D348" s="22" t="s">
        <v>710</v>
      </c>
      <c r="E348" s="22" t="s">
        <v>710</v>
      </c>
      <c r="F348" s="22" t="s">
        <v>20</v>
      </c>
      <c r="G348" s="23" t="n">
        <v>1</v>
      </c>
      <c r="H348" s="24" t="n">
        <v>910.4</v>
      </c>
      <c r="I348" s="24" t="n">
        <v>910.4</v>
      </c>
      <c r="J348" s="24" t="n">
        <v>0</v>
      </c>
      <c r="K348" s="24" t="n">
        <v>0</v>
      </c>
      <c r="L348" s="24" t="n">
        <v>0</v>
      </c>
      <c r="M348" s="6" t="s">
        <f>=I348+J348+K348+L348</f>
      </c>
      <c r="N348" s="24"/>
      <c r="O348" s="22"/>
    </row>
    <row collapsed="false" customFormat="false" customHeight="false" hidden="false" ht="12.1" outlineLevel="0" r="349">
      <c r="A349" s="29" t="n">
        <v>45442</v>
      </c>
      <c r="B349" s="30" t="s">
        <v>792</v>
      </c>
      <c r="C349" s="30" t="s">
        <v>793</v>
      </c>
      <c r="D349" s="30" t="s">
        <v>792</v>
      </c>
      <c r="E349" s="30" t="s">
        <v>792</v>
      </c>
      <c r="F349" s="30" t="s">
        <v>20</v>
      </c>
      <c r="G349" s="31" t="n">
        <v>1</v>
      </c>
      <c r="H349" s="32" t="n">
        <v>-1.97</v>
      </c>
      <c r="I349" s="32" t="n">
        <v>-1.97</v>
      </c>
      <c r="J349" s="32" t="n">
        <v>0</v>
      </c>
      <c r="K349" s="32" t="n">
        <v>0</v>
      </c>
      <c r="L349" s="32" t="n">
        <v>0</v>
      </c>
      <c r="M349" s="6" t="s">
        <f>=I349+J349+K349+L349</f>
      </c>
      <c r="N349" s="32"/>
      <c r="O349" s="30"/>
    </row>
    <row collapsed="false" customFormat="false" customHeight="false" hidden="false" ht="12.1" outlineLevel="0" r="350">
      <c r="A350" s="20" t="n">
        <v>45442.585925926</v>
      </c>
      <c r="B350" s="16" t="s">
        <v>612</v>
      </c>
      <c r="C350" s="16" t="s">
        <v>802</v>
      </c>
      <c r="D350" s="16" t="s">
        <v>587</v>
      </c>
      <c r="E350" s="16" t="s">
        <v>18</v>
      </c>
      <c r="F350" s="16" t="s">
        <v>20</v>
      </c>
      <c r="G350" s="7" t="n">
        <v>22000</v>
      </c>
      <c r="H350" s="6" t="n">
        <v>0.2236</v>
      </c>
      <c r="I350" s="6" t="n">
        <v>-4919.2</v>
      </c>
      <c r="J350" s="6" t="n">
        <v>0</v>
      </c>
      <c r="K350" s="6" t="n">
        <v>-2.95</v>
      </c>
      <c r="L350" s="6" t="n">
        <v>0</v>
      </c>
      <c r="M350" s="6" t="s">
        <f>=I350+J350+K350+L350</f>
      </c>
      <c r="N350" s="6"/>
      <c r="O350" s="16"/>
    </row>
    <row collapsed="false" customFormat="false" customHeight="false" hidden="false" ht="12.1" outlineLevel="0" r="351">
      <c r="A351" s="25" t="n">
        <v>45442.688796296</v>
      </c>
      <c r="B351" s="26" t="s">
        <v>128</v>
      </c>
      <c r="C351" s="26" t="s">
        <v>721</v>
      </c>
      <c r="D351" s="26" t="s">
        <v>588</v>
      </c>
      <c r="E351" s="26" t="s">
        <v>122</v>
      </c>
      <c r="F351" s="26" t="s">
        <v>20</v>
      </c>
      <c r="G351" s="27" t="n">
        <v>-2870</v>
      </c>
      <c r="H351" s="28" t="n">
        <v>1.4068</v>
      </c>
      <c r="I351" s="28" t="n">
        <v>4037.52</v>
      </c>
      <c r="J351" s="28" t="n">
        <v>0</v>
      </c>
      <c r="K351" s="28" t="n">
        <v>0</v>
      </c>
      <c r="L351" s="28" t="n">
        <v>0</v>
      </c>
      <c r="M351" s="6" t="s">
        <f>=I351+J351+K351+L351</f>
      </c>
      <c r="N351" s="28"/>
      <c r="O351" s="26"/>
    </row>
    <row collapsed="false" customFormat="false" customHeight="false" hidden="false" ht="12.1" outlineLevel="0" r="352">
      <c r="A352" s="29" t="n">
        <v>45443</v>
      </c>
      <c r="B352" s="30" t="s">
        <v>792</v>
      </c>
      <c r="C352" s="30" t="s">
        <v>795</v>
      </c>
      <c r="D352" s="30" t="s">
        <v>792</v>
      </c>
      <c r="E352" s="30" t="s">
        <v>792</v>
      </c>
      <c r="F352" s="30" t="s">
        <v>20</v>
      </c>
      <c r="G352" s="31" t="n">
        <v>1</v>
      </c>
      <c r="H352" s="32" t="n">
        <v>-0.54</v>
      </c>
      <c r="I352" s="32" t="n">
        <v>-0.54</v>
      </c>
      <c r="J352" s="32" t="n">
        <v>0</v>
      </c>
      <c r="K352" s="32" t="n">
        <v>0</v>
      </c>
      <c r="L352" s="32" t="n">
        <v>0</v>
      </c>
      <c r="M352" s="6" t="s">
        <f>=I352+J352+K352+L352</f>
      </c>
      <c r="N352" s="32"/>
      <c r="O352" s="30"/>
    </row>
    <row collapsed="false" customFormat="false" customHeight="false" hidden="false" ht="12.1" outlineLevel="0" r="353">
      <c r="A353" s="20" t="n">
        <v>45446.634375</v>
      </c>
      <c r="B353" s="16" t="s">
        <v>57</v>
      </c>
      <c r="C353" s="16" t="s">
        <v>58</v>
      </c>
      <c r="D353" s="16" t="s">
        <v>587</v>
      </c>
      <c r="E353" s="16" t="s">
        <v>18</v>
      </c>
      <c r="F353" s="16" t="s">
        <v>20</v>
      </c>
      <c r="G353" s="7" t="n">
        <v>3000</v>
      </c>
      <c r="H353" s="6" t="n">
        <v>0.87583333333333</v>
      </c>
      <c r="I353" s="6" t="n">
        <v>-2627.5</v>
      </c>
      <c r="J353" s="6" t="n">
        <v>0</v>
      </c>
      <c r="K353" s="6" t="n">
        <v>-2.1</v>
      </c>
      <c r="L353" s="6" t="n">
        <v>0</v>
      </c>
      <c r="M353" s="6" t="s">
        <f>=I353+J353+K353+L353</f>
      </c>
      <c r="N353" s="6"/>
      <c r="O353" s="16"/>
    </row>
    <row collapsed="false" customFormat="false" customHeight="false" hidden="false" ht="12.1" outlineLevel="0" r="354">
      <c r="A354" s="25" t="n">
        <v>45446.784710648</v>
      </c>
      <c r="B354" s="26" t="s">
        <v>128</v>
      </c>
      <c r="C354" s="26" t="s">
        <v>721</v>
      </c>
      <c r="D354" s="26" t="s">
        <v>588</v>
      </c>
      <c r="E354" s="26" t="s">
        <v>122</v>
      </c>
      <c r="F354" s="26" t="s">
        <v>20</v>
      </c>
      <c r="G354" s="27" t="n">
        <v>-1853</v>
      </c>
      <c r="H354" s="28" t="n">
        <v>1.4091</v>
      </c>
      <c r="I354" s="28" t="n">
        <v>2611.06</v>
      </c>
      <c r="J354" s="28" t="n">
        <v>0</v>
      </c>
      <c r="K354" s="28" t="n">
        <v>0</v>
      </c>
      <c r="L354" s="28" t="n">
        <v>0</v>
      </c>
      <c r="M354" s="6" t="s">
        <f>=I354+J354+K354+L354</f>
      </c>
      <c r="N354" s="28"/>
      <c r="O354" s="26"/>
    </row>
    <row collapsed="false" customFormat="false" customHeight="false" hidden="false" ht="12.1" outlineLevel="0" r="355">
      <c r="A355" s="20" t="n">
        <v>45447.457141204</v>
      </c>
      <c r="B355" s="16" t="s">
        <v>134</v>
      </c>
      <c r="C355" s="16" t="s">
        <v>790</v>
      </c>
      <c r="D355" s="16" t="s">
        <v>587</v>
      </c>
      <c r="E355" s="16" t="s">
        <v>135</v>
      </c>
      <c r="F355" s="16" t="s">
        <v>20</v>
      </c>
      <c r="G355" s="7" t="n">
        <v>10</v>
      </c>
      <c r="H355" s="6" t="n">
        <v>54.96</v>
      </c>
      <c r="I355" s="6" t="n">
        <v>-5496</v>
      </c>
      <c r="J355" s="6" t="n">
        <v>0</v>
      </c>
      <c r="K355" s="6" t="n">
        <v>-3.57</v>
      </c>
      <c r="L355" s="6" t="n">
        <v>0</v>
      </c>
      <c r="M355" s="6" t="s">
        <f>=I355+J355+K355+L355</f>
      </c>
      <c r="N355" s="6"/>
      <c r="O355" s="16"/>
    </row>
    <row collapsed="false" customFormat="false" customHeight="false" hidden="false" ht="12.1" outlineLevel="0" r="356">
      <c r="A356" s="25" t="n">
        <v>45447.457951389</v>
      </c>
      <c r="B356" s="26" t="s">
        <v>128</v>
      </c>
      <c r="C356" s="26" t="s">
        <v>721</v>
      </c>
      <c r="D356" s="26" t="s">
        <v>588</v>
      </c>
      <c r="E356" s="26" t="s">
        <v>122</v>
      </c>
      <c r="F356" s="26" t="s">
        <v>20</v>
      </c>
      <c r="G356" s="27" t="n">
        <v>-3903</v>
      </c>
      <c r="H356" s="28" t="n">
        <v>1.4097</v>
      </c>
      <c r="I356" s="28" t="n">
        <v>5502.06</v>
      </c>
      <c r="J356" s="28" t="n">
        <v>0</v>
      </c>
      <c r="K356" s="28" t="n">
        <v>0</v>
      </c>
      <c r="L356" s="28" t="n">
        <v>0</v>
      </c>
      <c r="M356" s="6" t="s">
        <f>=I356+J356+K356+L356</f>
      </c>
      <c r="N356" s="28"/>
      <c r="O356" s="26"/>
    </row>
    <row collapsed="false" customFormat="false" customHeight="false" hidden="false" ht="12.1" outlineLevel="0" r="357">
      <c r="A357" s="20" t="n">
        <v>45454.461574074</v>
      </c>
      <c r="B357" s="16" t="s">
        <v>84</v>
      </c>
      <c r="C357" s="16" t="s">
        <v>803</v>
      </c>
      <c r="D357" s="16" t="s">
        <v>587</v>
      </c>
      <c r="E357" s="16" t="s">
        <v>18</v>
      </c>
      <c r="F357" s="16" t="s">
        <v>20</v>
      </c>
      <c r="G357" s="7" t="n">
        <v>5</v>
      </c>
      <c r="H357" s="6" t="n">
        <v>298.85</v>
      </c>
      <c r="I357" s="6" t="n">
        <v>-1494.25</v>
      </c>
      <c r="J357" s="6" t="n">
        <v>0</v>
      </c>
      <c r="K357" s="6" t="n">
        <v>-1.2</v>
      </c>
      <c r="L357" s="6" t="n">
        <v>0</v>
      </c>
      <c r="M357" s="6" t="s">
        <f>=I357+J357+K357+L357</f>
      </c>
      <c r="N357" s="6"/>
      <c r="O357" s="16"/>
    </row>
    <row collapsed="false" customFormat="false" customHeight="false" hidden="false" ht="12.1" outlineLevel="0" r="358">
      <c r="A358" s="20" t="n">
        <v>45454.462824074</v>
      </c>
      <c r="B358" s="16" t="s">
        <v>60</v>
      </c>
      <c r="C358" s="16" t="s">
        <v>801</v>
      </c>
      <c r="D358" s="16" t="s">
        <v>587</v>
      </c>
      <c r="E358" s="16" t="s">
        <v>18</v>
      </c>
      <c r="F358" s="16" t="s">
        <v>20</v>
      </c>
      <c r="G358" s="7" t="n">
        <v>100</v>
      </c>
      <c r="H358" s="6" t="n">
        <v>28.865</v>
      </c>
      <c r="I358" s="6" t="n">
        <v>-2886.5</v>
      </c>
      <c r="J358" s="6" t="n">
        <v>0</v>
      </c>
      <c r="K358" s="6" t="n">
        <v>-2.31</v>
      </c>
      <c r="L358" s="6" t="n">
        <v>0</v>
      </c>
      <c r="M358" s="6" t="s">
        <f>=I358+J358+K358+L358</f>
      </c>
      <c r="N358" s="6"/>
      <c r="O358" s="16"/>
    </row>
    <row collapsed="false" customFormat="false" customHeight="false" hidden="false" ht="12.1" outlineLevel="0" r="359">
      <c r="A359" s="20" t="n">
        <v>45454.464930556</v>
      </c>
      <c r="B359" s="16" t="s">
        <v>130</v>
      </c>
      <c r="C359" s="16" t="s">
        <v>722</v>
      </c>
      <c r="D359" s="16" t="s">
        <v>587</v>
      </c>
      <c r="E359" s="16" t="s">
        <v>122</v>
      </c>
      <c r="F359" s="16" t="s">
        <v>20</v>
      </c>
      <c r="G359" s="7" t="n">
        <v>6000</v>
      </c>
      <c r="H359" s="6" t="n">
        <v>1.6777980833333</v>
      </c>
      <c r="I359" s="6" t="n">
        <v>-10066.79</v>
      </c>
      <c r="J359" s="6" t="n">
        <v>0</v>
      </c>
      <c r="K359" s="6" t="n">
        <v>-3.03</v>
      </c>
      <c r="L359" s="6" t="n">
        <v>0</v>
      </c>
      <c r="M359" s="6" t="s">
        <f>=I359+J359+K359+L359</f>
      </c>
      <c r="N359" s="6"/>
      <c r="O359" s="16"/>
    </row>
    <row collapsed="false" customFormat="false" customHeight="false" hidden="false" ht="12.1" outlineLevel="0" r="360">
      <c r="A360" s="25" t="n">
        <v>45454.465891204</v>
      </c>
      <c r="B360" s="26" t="s">
        <v>128</v>
      </c>
      <c r="C360" s="26" t="s">
        <v>721</v>
      </c>
      <c r="D360" s="26" t="s">
        <v>588</v>
      </c>
      <c r="E360" s="26" t="s">
        <v>122</v>
      </c>
      <c r="F360" s="26" t="s">
        <v>20</v>
      </c>
      <c r="G360" s="27" t="n">
        <v>-10220</v>
      </c>
      <c r="H360" s="28" t="n">
        <v>1.4148</v>
      </c>
      <c r="I360" s="28" t="n">
        <v>14459.26</v>
      </c>
      <c r="J360" s="28" t="n">
        <v>0</v>
      </c>
      <c r="K360" s="28" t="n">
        <v>0</v>
      </c>
      <c r="L360" s="28" t="n">
        <v>0</v>
      </c>
      <c r="M360" s="6" t="s">
        <f>=I360+J360+K360+L360</f>
      </c>
      <c r="N360" s="28"/>
      <c r="O360" s="26"/>
    </row>
    <row collapsed="false" customFormat="false" customHeight="false" hidden="false" ht="12.1" outlineLevel="0" r="361">
      <c r="A361" s="21" t="n">
        <v>45456</v>
      </c>
      <c r="B361" s="22" t="s">
        <v>785</v>
      </c>
      <c r="C361" s="22" t="s">
        <v>804</v>
      </c>
      <c r="D361" s="22" t="s">
        <v>785</v>
      </c>
      <c r="E361" s="22" t="s">
        <v>785</v>
      </c>
      <c r="F361" s="22" t="s">
        <v>20</v>
      </c>
      <c r="G361" s="23" t="n">
        <v>1</v>
      </c>
      <c r="H361" s="24" t="n">
        <v>15.39</v>
      </c>
      <c r="I361" s="24" t="n">
        <v>15.39</v>
      </c>
      <c r="J361" s="24" t="n">
        <v>0</v>
      </c>
      <c r="K361" s="24" t="n">
        <v>0</v>
      </c>
      <c r="L361" s="24" t="n">
        <v>0</v>
      </c>
      <c r="M361" s="6" t="s">
        <f>=I361+J361+K361+L361</f>
      </c>
      <c r="N361" s="24"/>
      <c r="O361" s="22"/>
    </row>
    <row collapsed="false" customFormat="false" customHeight="false" hidden="false" ht="12.1" outlineLevel="0" r="362">
      <c r="A362" s="20" t="n">
        <v>45461.469837963</v>
      </c>
      <c r="B362" s="16" t="s">
        <v>134</v>
      </c>
      <c r="C362" s="16" t="s">
        <v>790</v>
      </c>
      <c r="D362" s="16" t="s">
        <v>587</v>
      </c>
      <c r="E362" s="16" t="s">
        <v>135</v>
      </c>
      <c r="F362" s="16" t="s">
        <v>20</v>
      </c>
      <c r="G362" s="7" t="n">
        <v>20</v>
      </c>
      <c r="H362" s="6" t="n">
        <v>53.446</v>
      </c>
      <c r="I362" s="6" t="n">
        <v>-10689.2</v>
      </c>
      <c r="J362" s="6" t="n">
        <v>-54.4</v>
      </c>
      <c r="K362" s="6" t="n">
        <v>-6.26</v>
      </c>
      <c r="L362" s="6" t="n">
        <v>0</v>
      </c>
      <c r="M362" s="6" t="s">
        <f>=I362+J362+K362+L362</f>
      </c>
      <c r="N362" s="6"/>
      <c r="O362" s="16"/>
    </row>
    <row collapsed="false" customFormat="false" customHeight="false" hidden="false" ht="12.1" outlineLevel="0" r="363">
      <c r="A363" s="25" t="n">
        <v>45461.471747685</v>
      </c>
      <c r="B363" s="26" t="s">
        <v>598</v>
      </c>
      <c r="C363" s="26" t="s">
        <v>738</v>
      </c>
      <c r="D363" s="26" t="s">
        <v>588</v>
      </c>
      <c r="E363" s="26" t="s">
        <v>18</v>
      </c>
      <c r="F363" s="26" t="s">
        <v>20</v>
      </c>
      <c r="G363" s="27" t="n">
        <v>-5</v>
      </c>
      <c r="H363" s="28" t="n">
        <v>131.9</v>
      </c>
      <c r="I363" s="28" t="n">
        <v>659.5</v>
      </c>
      <c r="J363" s="28" t="n">
        <v>0</v>
      </c>
      <c r="K363" s="28" t="n">
        <v>-0.33</v>
      </c>
      <c r="L363" s="28" t="n">
        <v>0</v>
      </c>
      <c r="M363" s="6" t="s">
        <f>=I363+J363+K363+L363</f>
      </c>
      <c r="N363" s="28"/>
      <c r="O363" s="26"/>
    </row>
    <row collapsed="false" customFormat="false" customHeight="false" hidden="false" ht="12.1" outlineLevel="0" r="364">
      <c r="A364" s="25" t="n">
        <v>45461.472673611</v>
      </c>
      <c r="B364" s="26" t="s">
        <v>128</v>
      </c>
      <c r="C364" s="26" t="s">
        <v>721</v>
      </c>
      <c r="D364" s="26" t="s">
        <v>588</v>
      </c>
      <c r="E364" s="26" t="s">
        <v>122</v>
      </c>
      <c r="F364" s="26" t="s">
        <v>20</v>
      </c>
      <c r="G364" s="27" t="n">
        <v>-7100</v>
      </c>
      <c r="H364" s="28" t="n">
        <v>1.4184</v>
      </c>
      <c r="I364" s="28" t="n">
        <v>10070.64</v>
      </c>
      <c r="J364" s="28" t="n">
        <v>0</v>
      </c>
      <c r="K364" s="28" t="n">
        <v>0</v>
      </c>
      <c r="L364" s="28" t="n">
        <v>0</v>
      </c>
      <c r="M364" s="6" t="s">
        <f>=I364+J364+K364+L364</f>
      </c>
      <c r="N364" s="28"/>
      <c r="O364" s="26"/>
    </row>
    <row collapsed="false" customFormat="false" customHeight="false" hidden="false" ht="12.1" outlineLevel="0" r="365">
      <c r="A365" s="29" t="n">
        <v>45462</v>
      </c>
      <c r="B365" s="30" t="s">
        <v>792</v>
      </c>
      <c r="C365" s="30" t="s">
        <v>805</v>
      </c>
      <c r="D365" s="30" t="s">
        <v>792</v>
      </c>
      <c r="E365" s="30" t="s">
        <v>792</v>
      </c>
      <c r="F365" s="30" t="s">
        <v>20</v>
      </c>
      <c r="G365" s="31" t="n">
        <v>1</v>
      </c>
      <c r="H365" s="32" t="n">
        <v>-5.66</v>
      </c>
      <c r="I365" s="32" t="n">
        <v>-5.66</v>
      </c>
      <c r="J365" s="32" t="n">
        <v>0</v>
      </c>
      <c r="K365" s="32" t="n">
        <v>0</v>
      </c>
      <c r="L365" s="32" t="n">
        <v>0</v>
      </c>
      <c r="M365" s="6" t="s">
        <f>=I365+J365+K365+L365</f>
      </c>
      <c r="N365" s="32"/>
      <c r="O365" s="30"/>
    </row>
    <row collapsed="false" customFormat="false" customHeight="false" hidden="false" ht="12.1" outlineLevel="0" r="366">
      <c r="A366" s="21" t="n">
        <v>45462</v>
      </c>
      <c r="B366" s="22" t="s">
        <v>710</v>
      </c>
      <c r="C366" s="22" t="s">
        <v>255</v>
      </c>
      <c r="D366" s="22" t="s">
        <v>710</v>
      </c>
      <c r="E366" s="22" t="s">
        <v>710</v>
      </c>
      <c r="F366" s="22" t="s">
        <v>20</v>
      </c>
      <c r="G366" s="23" t="n">
        <v>1</v>
      </c>
      <c r="H366" s="24" t="n">
        <v>751.82</v>
      </c>
      <c r="I366" s="24" t="n">
        <v>751.82</v>
      </c>
      <c r="J366" s="24" t="n">
        <v>0</v>
      </c>
      <c r="K366" s="24" t="n">
        <v>0</v>
      </c>
      <c r="L366" s="24" t="n">
        <v>0</v>
      </c>
      <c r="M366" s="6" t="s">
        <f>=I366+J366+K366+L366</f>
      </c>
      <c r="N366" s="24"/>
      <c r="O366" s="22"/>
    </row>
    <row collapsed="false" customFormat="false" customHeight="false" hidden="false" ht="12.1" outlineLevel="0" r="367">
      <c r="A367" s="20" t="n">
        <v>45462.498865741</v>
      </c>
      <c r="B367" s="16" t="s">
        <v>134</v>
      </c>
      <c r="C367" s="16" t="s">
        <v>790</v>
      </c>
      <c r="D367" s="16" t="s">
        <v>587</v>
      </c>
      <c r="E367" s="16" t="s">
        <v>135</v>
      </c>
      <c r="F367" s="16" t="s">
        <v>20</v>
      </c>
      <c r="G367" s="7" t="n">
        <v>1</v>
      </c>
      <c r="H367" s="6" t="n">
        <v>52.979</v>
      </c>
      <c r="I367" s="6" t="n">
        <v>-529.79</v>
      </c>
      <c r="J367" s="6" t="n">
        <v>-2.92</v>
      </c>
      <c r="K367" s="6" t="n">
        <v>-0.31</v>
      </c>
      <c r="L367" s="6" t="n">
        <v>0</v>
      </c>
      <c r="M367" s="6" t="s">
        <f>=I367+J367+K367+L367</f>
      </c>
      <c r="N367" s="6"/>
      <c r="O367" s="16"/>
    </row>
    <row collapsed="false" customFormat="false" customHeight="false" hidden="false" ht="12.1" outlineLevel="0" r="368">
      <c r="A368" s="20" t="n">
        <v>45462.499502315</v>
      </c>
      <c r="B368" s="16" t="s">
        <v>121</v>
      </c>
      <c r="C368" s="16" t="s">
        <v>774</v>
      </c>
      <c r="D368" s="16" t="s">
        <v>587</v>
      </c>
      <c r="E368" s="16" t="s">
        <v>122</v>
      </c>
      <c r="F368" s="16" t="s">
        <v>20</v>
      </c>
      <c r="G368" s="7" t="n">
        <v>1</v>
      </c>
      <c r="H368" s="6" t="n">
        <v>141.4</v>
      </c>
      <c r="I368" s="6" t="n">
        <v>-141.4</v>
      </c>
      <c r="J368" s="6" t="n">
        <v>0</v>
      </c>
      <c r="K368" s="6" t="n">
        <v>-0.04</v>
      </c>
      <c r="L368" s="6" t="n">
        <v>0</v>
      </c>
      <c r="M368" s="6" t="s">
        <f>=I368+J368+K368+L368</f>
      </c>
      <c r="N368" s="6"/>
      <c r="O368" s="16"/>
    </row>
    <row collapsed="false" customFormat="false" customHeight="false" hidden="false" ht="12.1" outlineLevel="0" r="369">
      <c r="A369" s="21" t="n">
        <v>45463</v>
      </c>
      <c r="B369" s="22" t="s">
        <v>710</v>
      </c>
      <c r="C369" s="22" t="s">
        <v>255</v>
      </c>
      <c r="D369" s="22" t="s">
        <v>710</v>
      </c>
      <c r="E369" s="22" t="s">
        <v>710</v>
      </c>
      <c r="F369" s="22" t="s">
        <v>20</v>
      </c>
      <c r="G369" s="23" t="n">
        <v>1</v>
      </c>
      <c r="H369" s="24" t="n">
        <v>35</v>
      </c>
      <c r="I369" s="24" t="n">
        <v>35</v>
      </c>
      <c r="J369" s="24" t="n">
        <v>0</v>
      </c>
      <c r="K369" s="24" t="n">
        <v>0</v>
      </c>
      <c r="L369" s="24" t="n">
        <v>0</v>
      </c>
      <c r="M369" s="6" t="s">
        <f>=I369+J369+K369+L369</f>
      </c>
      <c r="N369" s="24"/>
      <c r="O369" s="22"/>
    </row>
    <row collapsed="false" customFormat="false" customHeight="false" hidden="false" ht="12.1" outlineLevel="0" r="370">
      <c r="A370" s="20" t="n">
        <v>45463.613796296</v>
      </c>
      <c r="B370" s="16" t="s">
        <v>124</v>
      </c>
      <c r="C370" s="16" t="s">
        <v>719</v>
      </c>
      <c r="D370" s="16" t="s">
        <v>587</v>
      </c>
      <c r="E370" s="16" t="s">
        <v>122</v>
      </c>
      <c r="F370" s="16" t="s">
        <v>20</v>
      </c>
      <c r="G370" s="7" t="n">
        <v>31</v>
      </c>
      <c r="H370" s="6" t="n">
        <v>136.5</v>
      </c>
      <c r="I370" s="6" t="n">
        <v>-4231.5</v>
      </c>
      <c r="J370" s="6" t="n">
        <v>0</v>
      </c>
      <c r="K370" s="6" t="n">
        <v>-1.27</v>
      </c>
      <c r="L370" s="6" t="n">
        <v>0</v>
      </c>
      <c r="M370" s="6" t="s">
        <f>=I370+J370+K370+L370</f>
      </c>
      <c r="N370" s="6"/>
      <c r="O370" s="16"/>
    </row>
    <row collapsed="false" customFormat="false" customHeight="false" hidden="false" ht="12.1" outlineLevel="0" r="371">
      <c r="A371" s="25" t="n">
        <v>45463.616273148</v>
      </c>
      <c r="B371" s="26" t="s">
        <v>128</v>
      </c>
      <c r="C371" s="26" t="s">
        <v>721</v>
      </c>
      <c r="D371" s="26" t="s">
        <v>588</v>
      </c>
      <c r="E371" s="26" t="s">
        <v>122</v>
      </c>
      <c r="F371" s="26" t="s">
        <v>20</v>
      </c>
      <c r="G371" s="27" t="n">
        <v>-2900</v>
      </c>
      <c r="H371" s="28" t="n">
        <v>1.4193</v>
      </c>
      <c r="I371" s="28" t="n">
        <v>4115.97</v>
      </c>
      <c r="J371" s="28" t="n">
        <v>0</v>
      </c>
      <c r="K371" s="28" t="n">
        <v>0</v>
      </c>
      <c r="L371" s="28" t="n">
        <v>0</v>
      </c>
      <c r="M371" s="6" t="s">
        <f>=I371+J371+K371+L371</f>
      </c>
      <c r="N371" s="28"/>
      <c r="O371" s="26"/>
    </row>
    <row collapsed="false" customFormat="false" customHeight="false" hidden="false" ht="12.1" outlineLevel="0" r="372">
      <c r="A372" s="21" t="n">
        <v>45464</v>
      </c>
      <c r="B372" s="22" t="s">
        <v>710</v>
      </c>
      <c r="C372" s="22" t="s">
        <v>255</v>
      </c>
      <c r="D372" s="22" t="s">
        <v>710</v>
      </c>
      <c r="E372" s="22" t="s">
        <v>710</v>
      </c>
      <c r="F372" s="22" t="s">
        <v>20</v>
      </c>
      <c r="G372" s="23" t="n">
        <v>1</v>
      </c>
      <c r="H372" s="24" t="n">
        <v>11390</v>
      </c>
      <c r="I372" s="24" t="n">
        <v>11390</v>
      </c>
      <c r="J372" s="24" t="n">
        <v>0</v>
      </c>
      <c r="K372" s="24" t="n">
        <v>0</v>
      </c>
      <c r="L372" s="24" t="n">
        <v>0</v>
      </c>
      <c r="M372" s="6" t="s">
        <f>=I372+J372+K372+L372</f>
      </c>
      <c r="N372" s="24"/>
      <c r="O372" s="22"/>
    </row>
    <row collapsed="false" customFormat="false" customHeight="false" hidden="false" ht="12.1" outlineLevel="0" r="373">
      <c r="A373" s="20" t="n">
        <v>45464.592083333</v>
      </c>
      <c r="B373" s="16" t="s">
        <v>138</v>
      </c>
      <c r="C373" s="16" t="s">
        <v>789</v>
      </c>
      <c r="D373" s="16" t="s">
        <v>587</v>
      </c>
      <c r="E373" s="16" t="s">
        <v>135</v>
      </c>
      <c r="F373" s="16" t="s">
        <v>20</v>
      </c>
      <c r="G373" s="7" t="n">
        <v>20</v>
      </c>
      <c r="H373" s="6" t="n">
        <v>55.715</v>
      </c>
      <c r="I373" s="6" t="n">
        <v>-11143</v>
      </c>
      <c r="J373" s="6" t="n">
        <v>-502.4</v>
      </c>
      <c r="K373" s="6" t="n">
        <v>-6.51</v>
      </c>
      <c r="L373" s="6" t="n">
        <v>0</v>
      </c>
      <c r="M373" s="6" t="s">
        <f>=I373+J373+K373+L373</f>
      </c>
      <c r="N373" s="6"/>
      <c r="O373" s="16"/>
    </row>
    <row collapsed="false" customFormat="false" customHeight="false" hidden="false" ht="12.1" outlineLevel="0" r="374">
      <c r="A374" s="25" t="n">
        <v>45464.593553241</v>
      </c>
      <c r="B374" s="26" t="s">
        <v>128</v>
      </c>
      <c r="C374" s="26" t="s">
        <v>721</v>
      </c>
      <c r="D374" s="26" t="s">
        <v>588</v>
      </c>
      <c r="E374" s="26" t="s">
        <v>122</v>
      </c>
      <c r="F374" s="26" t="s">
        <v>20</v>
      </c>
      <c r="G374" s="27" t="n">
        <v>-187</v>
      </c>
      <c r="H374" s="28" t="n">
        <v>1.4211</v>
      </c>
      <c r="I374" s="28" t="n">
        <v>265.75</v>
      </c>
      <c r="J374" s="28" t="n">
        <v>0</v>
      </c>
      <c r="K374" s="28" t="n">
        <v>0</v>
      </c>
      <c r="L374" s="28" t="n">
        <v>0</v>
      </c>
      <c r="M374" s="6" t="s">
        <f>=I374+J374+K374+L374</f>
      </c>
      <c r="N374" s="28"/>
      <c r="O374" s="26"/>
    </row>
    <row collapsed="false" customFormat="false" customHeight="false" hidden="false" ht="12.1" outlineLevel="0" r="375">
      <c r="A375" s="21" t="n">
        <v>45467</v>
      </c>
      <c r="B375" s="22" t="s">
        <v>710</v>
      </c>
      <c r="C375" s="22" t="s">
        <v>255</v>
      </c>
      <c r="D375" s="22" t="s">
        <v>710</v>
      </c>
      <c r="E375" s="22" t="s">
        <v>710</v>
      </c>
      <c r="F375" s="22" t="s">
        <v>20</v>
      </c>
      <c r="G375" s="23" t="n">
        <v>1</v>
      </c>
      <c r="H375" s="24" t="n">
        <v>11920</v>
      </c>
      <c r="I375" s="24" t="n">
        <v>11920</v>
      </c>
      <c r="J375" s="24" t="n">
        <v>0</v>
      </c>
      <c r="K375" s="24" t="n">
        <v>0</v>
      </c>
      <c r="L375" s="24" t="n">
        <v>0</v>
      </c>
      <c r="M375" s="6" t="s">
        <f>=I375+J375+K375+L375</f>
      </c>
      <c r="N375" s="24"/>
      <c r="O375" s="22"/>
    </row>
    <row collapsed="false" customFormat="false" customHeight="false" hidden="false" ht="12.1" outlineLevel="0" r="376">
      <c r="A376" s="20" t="n">
        <v>45467.442939815</v>
      </c>
      <c r="B376" s="16" t="s">
        <v>613</v>
      </c>
      <c r="C376" s="16" t="s">
        <v>806</v>
      </c>
      <c r="D376" s="16" t="s">
        <v>587</v>
      </c>
      <c r="E376" s="16" t="s">
        <v>18</v>
      </c>
      <c r="F376" s="16" t="s">
        <v>20</v>
      </c>
      <c r="G376" s="7" t="n">
        <v>1</v>
      </c>
      <c r="H376" s="6" t="n">
        <v>11915.5</v>
      </c>
      <c r="I376" s="6" t="n">
        <v>-11915.5</v>
      </c>
      <c r="J376" s="6" t="n">
        <v>0</v>
      </c>
      <c r="K376" s="6" t="n">
        <v>-9.54</v>
      </c>
      <c r="L376" s="6" t="n">
        <v>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1" t="n">
        <v>45473</v>
      </c>
      <c r="B377" s="22" t="s">
        <v>710</v>
      </c>
      <c r="C377" s="22" t="s">
        <v>255</v>
      </c>
      <c r="D377" s="22" t="s">
        <v>710</v>
      </c>
      <c r="E377" s="22" t="s">
        <v>710</v>
      </c>
      <c r="F377" s="22" t="s">
        <v>20</v>
      </c>
      <c r="G377" s="23" t="n">
        <v>1</v>
      </c>
      <c r="H377" s="24" t="n">
        <v>12483.2</v>
      </c>
      <c r="I377" s="24" t="n">
        <v>12483.2</v>
      </c>
      <c r="J377" s="24" t="n">
        <v>0</v>
      </c>
      <c r="K377" s="24" t="n">
        <v>0</v>
      </c>
      <c r="L377" s="24" t="n">
        <v>0</v>
      </c>
      <c r="M377" s="6" t="s">
        <f>=I377+J377+K377+L377</f>
      </c>
      <c r="N377" s="24"/>
      <c r="O377" s="22"/>
    </row>
    <row collapsed="false" customFormat="false" customHeight="false" hidden="false" ht="12.1" outlineLevel="0" r="378">
      <c r="A378" s="21" t="n">
        <v>45474</v>
      </c>
      <c r="B378" s="22" t="s">
        <v>785</v>
      </c>
      <c r="C378" s="22" t="s">
        <v>807</v>
      </c>
      <c r="D378" s="22" t="s">
        <v>785</v>
      </c>
      <c r="E378" s="22" t="s">
        <v>785</v>
      </c>
      <c r="F378" s="22" t="s">
        <v>20</v>
      </c>
      <c r="G378" s="23" t="n">
        <v>1</v>
      </c>
      <c r="H378" s="24" t="n">
        <v>404.11</v>
      </c>
      <c r="I378" s="24" t="n">
        <v>404.11</v>
      </c>
      <c r="J378" s="24" t="n">
        <v>0</v>
      </c>
      <c r="K378" s="24" t="n">
        <v>0</v>
      </c>
      <c r="L378" s="24" t="n">
        <v>0</v>
      </c>
      <c r="M378" s="6" t="s">
        <f>=I378+J378+K378+L378</f>
      </c>
      <c r="N378" s="24"/>
      <c r="O378" s="22"/>
    </row>
    <row collapsed="false" customFormat="false" customHeight="false" hidden="false" ht="12.1" outlineLevel="0" r="379">
      <c r="A379" s="20" t="n">
        <v>45474.422384259</v>
      </c>
      <c r="B379" s="16" t="s">
        <v>43</v>
      </c>
      <c r="C379" s="16" t="s">
        <v>808</v>
      </c>
      <c r="D379" s="16" t="s">
        <v>587</v>
      </c>
      <c r="E379" s="16" t="s">
        <v>18</v>
      </c>
      <c r="F379" s="16" t="s">
        <v>20</v>
      </c>
      <c r="G379" s="7" t="n">
        <v>1</v>
      </c>
      <c r="H379" s="6" t="n">
        <v>6419.5</v>
      </c>
      <c r="I379" s="6" t="n">
        <v>-6419.5</v>
      </c>
      <c r="J379" s="6" t="n">
        <v>0</v>
      </c>
      <c r="K379" s="6" t="n">
        <v>-5.14</v>
      </c>
      <c r="L379" s="6" t="n">
        <v>0</v>
      </c>
      <c r="M379" s="6" t="s">
        <f>=I379+J379+K379+L379</f>
      </c>
      <c r="N379" s="6"/>
      <c r="O379" s="16"/>
    </row>
    <row collapsed="false" customFormat="false" customHeight="false" hidden="false" ht="12.1" outlineLevel="0" r="380">
      <c r="A380" s="20" t="n">
        <v>45474.422881944</v>
      </c>
      <c r="B380" s="16" t="s">
        <v>74</v>
      </c>
      <c r="C380" s="16" t="s">
        <v>809</v>
      </c>
      <c r="D380" s="16" t="s">
        <v>587</v>
      </c>
      <c r="E380" s="16" t="s">
        <v>18</v>
      </c>
      <c r="F380" s="16" t="s">
        <v>20</v>
      </c>
      <c r="G380" s="7" t="n">
        <v>10</v>
      </c>
      <c r="H380" s="6" t="n">
        <v>177.64</v>
      </c>
      <c r="I380" s="6" t="n">
        <v>-1776.4</v>
      </c>
      <c r="J380" s="6" t="n">
        <v>0</v>
      </c>
      <c r="K380" s="6" t="n">
        <v>-1.43</v>
      </c>
      <c r="L380" s="6" t="n">
        <v>0</v>
      </c>
      <c r="M380" s="6" t="s">
        <f>=I380+J380+K380+L380</f>
      </c>
      <c r="N380" s="6"/>
      <c r="O380" s="16"/>
    </row>
    <row collapsed="false" customFormat="false" customHeight="false" hidden="false" ht="12.1" outlineLevel="0" r="381">
      <c r="A381" s="20" t="n">
        <v>45474.436203704</v>
      </c>
      <c r="B381" s="16" t="s">
        <v>128</v>
      </c>
      <c r="C381" s="16" t="s">
        <v>721</v>
      </c>
      <c r="D381" s="16" t="s">
        <v>587</v>
      </c>
      <c r="E381" s="16" t="s">
        <v>122</v>
      </c>
      <c r="F381" s="16" t="s">
        <v>20</v>
      </c>
      <c r="G381" s="7" t="n">
        <v>3285</v>
      </c>
      <c r="H381" s="6" t="n">
        <v>1.4260086757991</v>
      </c>
      <c r="I381" s="6" t="n">
        <v>-4684.44</v>
      </c>
      <c r="J381" s="6" t="n">
        <v>0</v>
      </c>
      <c r="K381" s="6" t="n">
        <v>0</v>
      </c>
      <c r="L381" s="6" t="n">
        <v>0</v>
      </c>
      <c r="M381" s="6" t="s">
        <f>=I381+J381+K381+L381</f>
      </c>
      <c r="N381" s="6"/>
      <c r="O381" s="16"/>
    </row>
    <row collapsed="false" customFormat="false" customHeight="false" hidden="false" ht="12.1" outlineLevel="0" r="382">
      <c r="A382" s="21" t="n">
        <v>45483</v>
      </c>
      <c r="B382" s="22" t="s">
        <v>710</v>
      </c>
      <c r="C382" s="22" t="s">
        <v>255</v>
      </c>
      <c r="D382" s="22" t="s">
        <v>710</v>
      </c>
      <c r="E382" s="22" t="s">
        <v>710</v>
      </c>
      <c r="F382" s="22" t="s">
        <v>20</v>
      </c>
      <c r="G382" s="23" t="n">
        <v>1</v>
      </c>
      <c r="H382" s="24" t="n">
        <v>491.97</v>
      </c>
      <c r="I382" s="24" t="n">
        <v>491.97</v>
      </c>
      <c r="J382" s="24" t="n">
        <v>0</v>
      </c>
      <c r="K382" s="24" t="n">
        <v>0</v>
      </c>
      <c r="L382" s="24" t="n">
        <v>0</v>
      </c>
      <c r="M382" s="6" t="s">
        <f>=I382+J382+K382+L382</f>
      </c>
      <c r="N382" s="24"/>
      <c r="O382" s="22"/>
    </row>
    <row collapsed="false" customFormat="false" customHeight="false" hidden="false" ht="12.1" outlineLevel="0" r="383">
      <c r="A383" s="20" t="n">
        <v>45483.4446875</v>
      </c>
      <c r="B383" s="16" t="s">
        <v>70</v>
      </c>
      <c r="C383" s="16" t="s">
        <v>810</v>
      </c>
      <c r="D383" s="16" t="s">
        <v>587</v>
      </c>
      <c r="E383" s="16" t="s">
        <v>18</v>
      </c>
      <c r="F383" s="16" t="s">
        <v>20</v>
      </c>
      <c r="G383" s="7" t="n">
        <v>50</v>
      </c>
      <c r="H383" s="6" t="n">
        <v>60.408</v>
      </c>
      <c r="I383" s="6" t="n">
        <v>-3020.4</v>
      </c>
      <c r="J383" s="6" t="n">
        <v>0</v>
      </c>
      <c r="K383" s="6" t="n">
        <v>-1.51</v>
      </c>
      <c r="L383" s="6" t="n">
        <v>0</v>
      </c>
      <c r="M383" s="6" t="s">
        <f>=I383+J383+K383+L383</f>
      </c>
      <c r="N383" s="6"/>
      <c r="O383" s="16"/>
    </row>
    <row collapsed="false" customFormat="false" customHeight="false" hidden="false" ht="12.1" outlineLevel="0" r="384">
      <c r="A384" s="25" t="n">
        <v>45483.460543981</v>
      </c>
      <c r="B384" s="26" t="s">
        <v>128</v>
      </c>
      <c r="C384" s="26" t="s">
        <v>721</v>
      </c>
      <c r="D384" s="26" t="s">
        <v>588</v>
      </c>
      <c r="E384" s="26" t="s">
        <v>122</v>
      </c>
      <c r="F384" s="26" t="s">
        <v>20</v>
      </c>
      <c r="G384" s="27" t="n">
        <v>-1770</v>
      </c>
      <c r="H384" s="28" t="n">
        <v>1.4314</v>
      </c>
      <c r="I384" s="28" t="n">
        <v>2533.58</v>
      </c>
      <c r="J384" s="28" t="n">
        <v>0</v>
      </c>
      <c r="K384" s="28" t="n">
        <v>0</v>
      </c>
      <c r="L384" s="28" t="n">
        <v>0</v>
      </c>
      <c r="M384" s="6" t="s">
        <f>=I384+J384+K384+L384</f>
      </c>
      <c r="N384" s="28"/>
      <c r="O384" s="26"/>
    </row>
    <row collapsed="false" customFormat="false" customHeight="false" hidden="false" ht="12.1" outlineLevel="0" r="385">
      <c r="A385" s="20" t="n">
        <v>45484.563298611</v>
      </c>
      <c r="B385" s="16" t="s">
        <v>74</v>
      </c>
      <c r="C385" s="16" t="s">
        <v>809</v>
      </c>
      <c r="D385" s="16" t="s">
        <v>587</v>
      </c>
      <c r="E385" s="16" t="s">
        <v>18</v>
      </c>
      <c r="F385" s="16" t="s">
        <v>20</v>
      </c>
      <c r="G385" s="7" t="n">
        <v>10</v>
      </c>
      <c r="H385" s="6" t="n">
        <v>166.3</v>
      </c>
      <c r="I385" s="6" t="n">
        <v>-1663</v>
      </c>
      <c r="J385" s="6" t="n">
        <v>0</v>
      </c>
      <c r="K385" s="6" t="n">
        <v>-1.33</v>
      </c>
      <c r="L385" s="6" t="n">
        <v>0</v>
      </c>
      <c r="M385" s="6" t="s">
        <f>=I385+J385+K385+L385</f>
      </c>
      <c r="N385" s="6"/>
      <c r="O385" s="16"/>
    </row>
    <row collapsed="false" customFormat="false" customHeight="false" hidden="false" ht="12.1" outlineLevel="0" r="386">
      <c r="A386" s="25" t="n">
        <v>45484.571087963</v>
      </c>
      <c r="B386" s="26" t="s">
        <v>128</v>
      </c>
      <c r="C386" s="26" t="s">
        <v>721</v>
      </c>
      <c r="D386" s="26" t="s">
        <v>588</v>
      </c>
      <c r="E386" s="26" t="s">
        <v>122</v>
      </c>
      <c r="F386" s="26" t="s">
        <v>20</v>
      </c>
      <c r="G386" s="27" t="n">
        <v>-1160</v>
      </c>
      <c r="H386" s="28" t="n">
        <v>1.4321</v>
      </c>
      <c r="I386" s="28" t="n">
        <v>1661.24</v>
      </c>
      <c r="J386" s="28" t="n">
        <v>0</v>
      </c>
      <c r="K386" s="28" t="n">
        <v>0</v>
      </c>
      <c r="L386" s="28" t="n">
        <v>0</v>
      </c>
      <c r="M386" s="6" t="s">
        <f>=I386+J386+K386+L386</f>
      </c>
      <c r="N386" s="28"/>
      <c r="O386" s="26"/>
    </row>
    <row collapsed="false" customFormat="false" customHeight="false" hidden="false" ht="12.1" outlineLevel="0" r="387">
      <c r="A387" s="21" t="n">
        <v>45488</v>
      </c>
      <c r="B387" s="22" t="s">
        <v>710</v>
      </c>
      <c r="C387" s="22" t="s">
        <v>255</v>
      </c>
      <c r="D387" s="22" t="s">
        <v>710</v>
      </c>
      <c r="E387" s="22" t="s">
        <v>710</v>
      </c>
      <c r="F387" s="22" t="s">
        <v>20</v>
      </c>
      <c r="G387" s="23" t="n">
        <v>3</v>
      </c>
      <c r="H387" s="24" t="n">
        <v>13093.243333333</v>
      </c>
      <c r="I387" s="24" t="n">
        <v>39279.73</v>
      </c>
      <c r="J387" s="24" t="n">
        <v>0</v>
      </c>
      <c r="K387" s="24" t="n">
        <v>0</v>
      </c>
      <c r="L387" s="24" t="n">
        <v>0</v>
      </c>
      <c r="M387" s="6" t="s">
        <f>=I387+J387+K387+L387</f>
      </c>
      <c r="N387" s="24"/>
      <c r="O387" s="22"/>
    </row>
    <row collapsed="false" customFormat="false" customHeight="false" hidden="false" ht="12.1" outlineLevel="0" r="388">
      <c r="A388" s="20" t="n">
        <v>45488.557465278</v>
      </c>
      <c r="B388" s="16" t="s">
        <v>134</v>
      </c>
      <c r="C388" s="16" t="s">
        <v>790</v>
      </c>
      <c r="D388" s="16" t="s">
        <v>587</v>
      </c>
      <c r="E388" s="16" t="s">
        <v>135</v>
      </c>
      <c r="F388" s="16" t="s">
        <v>20</v>
      </c>
      <c r="G388" s="7" t="n">
        <v>30</v>
      </c>
      <c r="H388" s="6" t="n">
        <v>52.02</v>
      </c>
      <c r="I388" s="6" t="n">
        <v>-15606</v>
      </c>
      <c r="J388" s="6" t="n">
        <v>-239.1</v>
      </c>
      <c r="K388" s="6" t="n">
        <v>-9.36</v>
      </c>
      <c r="L388" s="6" t="n">
        <v>0</v>
      </c>
      <c r="M388" s="6" t="s">
        <f>=I388+J388+K388+L388</f>
      </c>
      <c r="N388" s="6"/>
      <c r="O388" s="16"/>
    </row>
    <row collapsed="false" customFormat="false" customHeight="false" hidden="false" ht="12.1" outlineLevel="0" r="389">
      <c r="A389" s="20" t="n">
        <v>45488.558263889</v>
      </c>
      <c r="B389" s="16" t="s">
        <v>138</v>
      </c>
      <c r="C389" s="16" t="s">
        <v>789</v>
      </c>
      <c r="D389" s="16" t="s">
        <v>587</v>
      </c>
      <c r="E389" s="16" t="s">
        <v>135</v>
      </c>
      <c r="F389" s="16" t="s">
        <v>20</v>
      </c>
      <c r="G389" s="7" t="n">
        <v>30</v>
      </c>
      <c r="H389" s="6" t="n">
        <v>54.752</v>
      </c>
      <c r="I389" s="6" t="n">
        <v>-16425.6</v>
      </c>
      <c r="J389" s="6" t="n">
        <v>-880.2</v>
      </c>
      <c r="K389" s="6" t="n">
        <v>-9.87</v>
      </c>
      <c r="L389" s="6" t="n">
        <v>0</v>
      </c>
      <c r="M389" s="6" t="s">
        <f>=I389+J389+K389+L389</f>
      </c>
      <c r="N389" s="6"/>
      <c r="O389" s="16"/>
    </row>
    <row collapsed="false" customFormat="false" customHeight="false" hidden="false" ht="12.1" outlineLevel="0" r="390">
      <c r="A390" s="20" t="n">
        <v>45488.559143519</v>
      </c>
      <c r="B390" s="16" t="s">
        <v>237</v>
      </c>
      <c r="C390" s="16" t="s">
        <v>811</v>
      </c>
      <c r="D390" s="16" t="s">
        <v>587</v>
      </c>
      <c r="E390" s="16" t="s">
        <v>135</v>
      </c>
      <c r="F390" s="16" t="s">
        <v>20</v>
      </c>
      <c r="G390" s="7" t="n">
        <v>10</v>
      </c>
      <c r="H390" s="6" t="n">
        <v>91.4</v>
      </c>
      <c r="I390" s="6" t="n">
        <v>-6009.09</v>
      </c>
      <c r="J390" s="6" t="n">
        <v>-27.7</v>
      </c>
      <c r="K390" s="6" t="n">
        <v>-3.61</v>
      </c>
      <c r="L390" s="6" t="n">
        <v>0</v>
      </c>
      <c r="M390" s="6" t="s">
        <f>=I390+J390+K390+L390</f>
      </c>
      <c r="N390" s="6"/>
      <c r="O390" s="16"/>
    </row>
    <row collapsed="false" customFormat="false" customHeight="false" hidden="false" ht="12.1" outlineLevel="0" r="391">
      <c r="A391" s="21" t="n">
        <v>45489</v>
      </c>
      <c r="B391" s="22" t="s">
        <v>710</v>
      </c>
      <c r="C391" s="22" t="s">
        <v>255</v>
      </c>
      <c r="D391" s="22" t="s">
        <v>710</v>
      </c>
      <c r="E391" s="22" t="s">
        <v>710</v>
      </c>
      <c r="F391" s="22" t="s">
        <v>20</v>
      </c>
      <c r="G391" s="23" t="n">
        <v>1</v>
      </c>
      <c r="H391" s="24" t="n">
        <v>114.5</v>
      </c>
      <c r="I391" s="24" t="n">
        <v>114.5</v>
      </c>
      <c r="J391" s="24" t="n">
        <v>0</v>
      </c>
      <c r="K391" s="24" t="n">
        <v>0</v>
      </c>
      <c r="L391" s="24" t="n">
        <v>0</v>
      </c>
      <c r="M391" s="6" t="s">
        <f>=I391+J391+K391+L391</f>
      </c>
      <c r="N391" s="24"/>
      <c r="O391" s="22"/>
    </row>
    <row collapsed="false" customFormat="false" customHeight="false" hidden="false" ht="12.1" outlineLevel="0" r="392">
      <c r="A392" s="21" t="n">
        <v>45490</v>
      </c>
      <c r="B392" s="22" t="s">
        <v>710</v>
      </c>
      <c r="C392" s="22" t="s">
        <v>255</v>
      </c>
      <c r="D392" s="22" t="s">
        <v>710</v>
      </c>
      <c r="E392" s="22" t="s">
        <v>710</v>
      </c>
      <c r="F392" s="22" t="s">
        <v>20</v>
      </c>
      <c r="G392" s="23" t="n">
        <v>1</v>
      </c>
      <c r="H392" s="24" t="n">
        <v>2700</v>
      </c>
      <c r="I392" s="24" t="n">
        <v>2700</v>
      </c>
      <c r="J392" s="24" t="n">
        <v>0</v>
      </c>
      <c r="K392" s="24" t="n">
        <v>0</v>
      </c>
      <c r="L392" s="24" t="n">
        <v>0</v>
      </c>
      <c r="M392" s="6" t="s">
        <f>=I392+J392+K392+L392</f>
      </c>
      <c r="N392" s="24"/>
      <c r="O392" s="22"/>
    </row>
    <row collapsed="false" customFormat="false" customHeight="false" hidden="false" ht="12.1" outlineLevel="0" r="393">
      <c r="A393" s="20" t="n">
        <v>45490.531678241</v>
      </c>
      <c r="B393" s="16" t="s">
        <v>66</v>
      </c>
      <c r="C393" s="16" t="s">
        <v>812</v>
      </c>
      <c r="D393" s="16" t="s">
        <v>587</v>
      </c>
      <c r="E393" s="16" t="s">
        <v>18</v>
      </c>
      <c r="F393" s="16" t="s">
        <v>20</v>
      </c>
      <c r="G393" s="7" t="n">
        <v>2</v>
      </c>
      <c r="H393" s="6" t="n">
        <v>1437.5</v>
      </c>
      <c r="I393" s="6" t="n">
        <v>-2875</v>
      </c>
      <c r="J393" s="6" t="n">
        <v>0</v>
      </c>
      <c r="K393" s="6" t="n">
        <v>-2.31</v>
      </c>
      <c r="L393" s="6" t="n">
        <v>0</v>
      </c>
      <c r="M393" s="6" t="s">
        <f>=I393+J393+K393+L393</f>
      </c>
      <c r="N393" s="6"/>
      <c r="O393" s="16"/>
    </row>
    <row collapsed="false" customFormat="false" customHeight="false" hidden="false" ht="12.1" outlineLevel="0" r="394">
      <c r="A394" s="21" t="n">
        <v>45491</v>
      </c>
      <c r="B394" s="22" t="s">
        <v>710</v>
      </c>
      <c r="C394" s="22" t="s">
        <v>255</v>
      </c>
      <c r="D394" s="22" t="s">
        <v>710</v>
      </c>
      <c r="E394" s="22" t="s">
        <v>710</v>
      </c>
      <c r="F394" s="22" t="s">
        <v>20</v>
      </c>
      <c r="G394" s="23" t="n">
        <v>3</v>
      </c>
      <c r="H394" s="24" t="n">
        <v>2109.3766666667</v>
      </c>
      <c r="I394" s="24" t="n">
        <v>6328.13</v>
      </c>
      <c r="J394" s="24" t="n">
        <v>0</v>
      </c>
      <c r="K394" s="24" t="n">
        <v>0</v>
      </c>
      <c r="L394" s="24" t="n">
        <v>0</v>
      </c>
      <c r="M394" s="6" t="s">
        <f>=I394+J394+K394+L394</f>
      </c>
      <c r="N394" s="24"/>
      <c r="O394" s="22"/>
    </row>
    <row collapsed="false" customFormat="false" customHeight="false" hidden="false" ht="12.1" outlineLevel="0" r="395">
      <c r="A395" s="20" t="n">
        <v>45491.510439815</v>
      </c>
      <c r="B395" s="16" t="s">
        <v>128</v>
      </c>
      <c r="C395" s="16" t="s">
        <v>721</v>
      </c>
      <c r="D395" s="16" t="s">
        <v>587</v>
      </c>
      <c r="E395" s="16" t="s">
        <v>122</v>
      </c>
      <c r="F395" s="16" t="s">
        <v>20</v>
      </c>
      <c r="G395" s="7" t="n">
        <v>255</v>
      </c>
      <c r="H395" s="6" t="n">
        <v>1.4367</v>
      </c>
      <c r="I395" s="6" t="n">
        <v>-366.36</v>
      </c>
      <c r="J395" s="6" t="n">
        <v>0</v>
      </c>
      <c r="K395" s="6" t="n">
        <v>0</v>
      </c>
      <c r="L395" s="6" t="n">
        <v>0</v>
      </c>
      <c r="M395" s="6" t="s">
        <f>=I395+J395+K395+L395</f>
      </c>
      <c r="N395" s="6"/>
      <c r="O395" s="16"/>
    </row>
    <row collapsed="false" customFormat="false" customHeight="false" hidden="false" ht="12.1" outlineLevel="0" r="396">
      <c r="A396" s="20" t="n">
        <v>45491.52150463</v>
      </c>
      <c r="B396" s="16" t="s">
        <v>84</v>
      </c>
      <c r="C396" s="16" t="s">
        <v>803</v>
      </c>
      <c r="D396" s="16" t="s">
        <v>587</v>
      </c>
      <c r="E396" s="16" t="s">
        <v>18</v>
      </c>
      <c r="F396" s="16" t="s">
        <v>20</v>
      </c>
      <c r="G396" s="7" t="n">
        <v>5</v>
      </c>
      <c r="H396" s="6" t="n">
        <v>249.44</v>
      </c>
      <c r="I396" s="6" t="n">
        <v>-1247.2</v>
      </c>
      <c r="J396" s="6" t="n">
        <v>0</v>
      </c>
      <c r="K396" s="6" t="n">
        <v>-0.99</v>
      </c>
      <c r="L396" s="6" t="n">
        <v>0</v>
      </c>
      <c r="M396" s="6" t="s">
        <f>=I396+J396+K396+L396</f>
      </c>
      <c r="N396" s="6"/>
      <c r="O396" s="16"/>
    </row>
    <row collapsed="false" customFormat="false" customHeight="false" hidden="false" ht="12.1" outlineLevel="0" r="397">
      <c r="A397" s="20" t="n">
        <v>45491.523078704</v>
      </c>
      <c r="B397" s="16" t="s">
        <v>46</v>
      </c>
      <c r="C397" s="16" t="s">
        <v>775</v>
      </c>
      <c r="D397" s="16" t="s">
        <v>587</v>
      </c>
      <c r="E397" s="16" t="s">
        <v>18</v>
      </c>
      <c r="F397" s="16" t="s">
        <v>20</v>
      </c>
      <c r="G397" s="7" t="n">
        <v>5</v>
      </c>
      <c r="H397" s="6" t="n">
        <v>600.2</v>
      </c>
      <c r="I397" s="6" t="n">
        <v>-3001</v>
      </c>
      <c r="J397" s="6" t="n">
        <v>0</v>
      </c>
      <c r="K397" s="6" t="n">
        <v>-2.4</v>
      </c>
      <c r="L397" s="6" t="n">
        <v>0</v>
      </c>
      <c r="M397" s="6" t="s">
        <f>=I397+J397+K397+L397</f>
      </c>
      <c r="N397" s="6"/>
      <c r="O397" s="16"/>
    </row>
    <row collapsed="false" customFormat="false" customHeight="false" hidden="false" ht="12.1" outlineLevel="0" r="398">
      <c r="A398" s="20" t="n">
        <v>45491.527523148</v>
      </c>
      <c r="B398" s="16" t="s">
        <v>86</v>
      </c>
      <c r="C398" s="16" t="s">
        <v>794</v>
      </c>
      <c r="D398" s="16" t="s">
        <v>587</v>
      </c>
      <c r="E398" s="16" t="s">
        <v>18</v>
      </c>
      <c r="F398" s="16" t="s">
        <v>20</v>
      </c>
      <c r="G398" s="7" t="n">
        <v>2</v>
      </c>
      <c r="H398" s="6" t="n">
        <v>858.75</v>
      </c>
      <c r="I398" s="6" t="n">
        <v>-1717.5</v>
      </c>
      <c r="J398" s="6" t="n">
        <v>0</v>
      </c>
      <c r="K398" s="6" t="n">
        <v>-1.38</v>
      </c>
      <c r="L398" s="6" t="n">
        <v>0</v>
      </c>
      <c r="M398" s="6" t="s">
        <f>=I398+J398+K398+L398</f>
      </c>
      <c r="N398" s="6"/>
      <c r="O398" s="16"/>
    </row>
    <row collapsed="false" customFormat="false" customHeight="false" hidden="false" ht="12.1" outlineLevel="0" r="399">
      <c r="A399" s="21" t="n">
        <v>45492</v>
      </c>
      <c r="B399" s="22" t="s">
        <v>710</v>
      </c>
      <c r="C399" s="22" t="s">
        <v>255</v>
      </c>
      <c r="D399" s="22" t="s">
        <v>710</v>
      </c>
      <c r="E399" s="22" t="s">
        <v>710</v>
      </c>
      <c r="F399" s="22" t="s">
        <v>20</v>
      </c>
      <c r="G399" s="23" t="n">
        <v>1</v>
      </c>
      <c r="H399" s="24" t="n">
        <v>20.67</v>
      </c>
      <c r="I399" s="24" t="n">
        <v>20.67</v>
      </c>
      <c r="J399" s="24" t="n">
        <v>0</v>
      </c>
      <c r="K399" s="24" t="n">
        <v>0</v>
      </c>
      <c r="L399" s="24" t="n">
        <v>0</v>
      </c>
      <c r="M399" s="6" t="s">
        <f>=I399+J399+K399+L399</f>
      </c>
      <c r="N399" s="24"/>
      <c r="O399" s="22"/>
    </row>
    <row collapsed="false" customFormat="false" customHeight="false" hidden="false" ht="12.1" outlineLevel="0" r="400">
      <c r="A400" s="20" t="n">
        <v>45492.576006944</v>
      </c>
      <c r="B400" s="16" t="s">
        <v>598</v>
      </c>
      <c r="C400" s="16" t="s">
        <v>738</v>
      </c>
      <c r="D400" s="16" t="s">
        <v>587</v>
      </c>
      <c r="E400" s="16" t="s">
        <v>18</v>
      </c>
      <c r="F400" s="16" t="s">
        <v>20</v>
      </c>
      <c r="G400" s="7" t="n">
        <v>5</v>
      </c>
      <c r="H400" s="6" t="n">
        <v>117.7</v>
      </c>
      <c r="I400" s="6" t="n">
        <v>-588.5</v>
      </c>
      <c r="J400" s="6" t="n">
        <v>0</v>
      </c>
      <c r="K400" s="6" t="n">
        <v>-0.3</v>
      </c>
      <c r="L400" s="6" t="n">
        <v>0</v>
      </c>
      <c r="M400" s="6" t="s">
        <f>=I400+J400+K400+L400</f>
      </c>
      <c r="N400" s="6"/>
      <c r="O400" s="16"/>
    </row>
    <row collapsed="false" customFormat="false" customHeight="false" hidden="false" ht="12.1" outlineLevel="0" r="401">
      <c r="A401" s="25" t="n">
        <v>45492.577256944</v>
      </c>
      <c r="B401" s="26" t="s">
        <v>128</v>
      </c>
      <c r="C401" s="26" t="s">
        <v>721</v>
      </c>
      <c r="D401" s="26" t="s">
        <v>588</v>
      </c>
      <c r="E401" s="26" t="s">
        <v>122</v>
      </c>
      <c r="F401" s="26" t="s">
        <v>20</v>
      </c>
      <c r="G401" s="27" t="n">
        <v>-410</v>
      </c>
      <c r="H401" s="28" t="n">
        <v>1.4384</v>
      </c>
      <c r="I401" s="28" t="n">
        <v>589.74</v>
      </c>
      <c r="J401" s="28" t="n">
        <v>0</v>
      </c>
      <c r="K401" s="28" t="n">
        <v>0</v>
      </c>
      <c r="L401" s="28" t="n">
        <v>0</v>
      </c>
      <c r="M401" s="6" t="s">
        <f>=I401+J401+K401+L401</f>
      </c>
      <c r="N401" s="28"/>
      <c r="O401" s="26"/>
    </row>
    <row collapsed="false" customFormat="false" customHeight="false" hidden="false" ht="12.1" outlineLevel="0" r="402">
      <c r="A402" s="21" t="n">
        <v>45494</v>
      </c>
      <c r="B402" s="22" t="s">
        <v>710</v>
      </c>
      <c r="C402" s="22" t="s">
        <v>255</v>
      </c>
      <c r="D402" s="22" t="s">
        <v>710</v>
      </c>
      <c r="E402" s="22" t="s">
        <v>710</v>
      </c>
      <c r="F402" s="22" t="s">
        <v>20</v>
      </c>
      <c r="G402" s="23" t="n">
        <v>1</v>
      </c>
      <c r="H402" s="24" t="n">
        <v>161.39</v>
      </c>
      <c r="I402" s="24" t="n">
        <v>161.39</v>
      </c>
      <c r="J402" s="24" t="n">
        <v>0</v>
      </c>
      <c r="K402" s="24" t="n">
        <v>0</v>
      </c>
      <c r="L402" s="24" t="n">
        <v>0</v>
      </c>
      <c r="M402" s="6" t="s">
        <f>=I402+J402+K402+L402</f>
      </c>
      <c r="N402" s="24"/>
      <c r="O402" s="22"/>
    </row>
    <row collapsed="false" customFormat="false" customHeight="false" hidden="false" ht="12.1" outlineLevel="0" r="403">
      <c r="A403" s="21" t="n">
        <v>45495</v>
      </c>
      <c r="B403" s="22" t="s">
        <v>710</v>
      </c>
      <c r="C403" s="22" t="s">
        <v>255</v>
      </c>
      <c r="D403" s="22" t="s">
        <v>710</v>
      </c>
      <c r="E403" s="22" t="s">
        <v>710</v>
      </c>
      <c r="F403" s="22" t="s">
        <v>20</v>
      </c>
      <c r="G403" s="23" t="n">
        <v>1</v>
      </c>
      <c r="H403" s="24" t="n">
        <v>7200</v>
      </c>
      <c r="I403" s="24" t="n">
        <v>7200</v>
      </c>
      <c r="J403" s="24" t="n">
        <v>0</v>
      </c>
      <c r="K403" s="24" t="n">
        <v>0</v>
      </c>
      <c r="L403" s="24" t="n">
        <v>0</v>
      </c>
      <c r="M403" s="6" t="s">
        <f>=I403+J403+K403+L403</f>
      </c>
      <c r="N403" s="24"/>
      <c r="O403" s="22"/>
    </row>
    <row collapsed="false" customFormat="false" customHeight="false" hidden="false" ht="12.1" outlineLevel="0" r="404">
      <c r="A404" s="20" t="n">
        <v>45495.4525</v>
      </c>
      <c r="B404" s="16" t="s">
        <v>40</v>
      </c>
      <c r="C404" s="16" t="s">
        <v>813</v>
      </c>
      <c r="D404" s="16" t="s">
        <v>587</v>
      </c>
      <c r="E404" s="16" t="s">
        <v>18</v>
      </c>
      <c r="F404" s="16" t="s">
        <v>20</v>
      </c>
      <c r="G404" s="7" t="n">
        <v>200</v>
      </c>
      <c r="H404" s="6" t="n">
        <v>15.57</v>
      </c>
      <c r="I404" s="6" t="n">
        <v>-3114</v>
      </c>
      <c r="J404" s="6" t="n">
        <v>0</v>
      </c>
      <c r="K404" s="6" t="n">
        <v>-2.5</v>
      </c>
      <c r="L404" s="6" t="n">
        <v>0</v>
      </c>
      <c r="M404" s="6" t="s">
        <f>=I404+J404+K404+L404</f>
      </c>
      <c r="N404" s="6"/>
      <c r="O404" s="16"/>
    </row>
    <row collapsed="false" customFormat="false" customHeight="false" hidden="false" ht="12.1" outlineLevel="0" r="405">
      <c r="A405" s="20" t="n">
        <v>45495.454768519</v>
      </c>
      <c r="B405" s="16" t="s">
        <v>204</v>
      </c>
      <c r="C405" s="16" t="s">
        <v>814</v>
      </c>
      <c r="D405" s="16" t="s">
        <v>587</v>
      </c>
      <c r="E405" s="16" t="s">
        <v>135</v>
      </c>
      <c r="F405" s="16" t="s">
        <v>20</v>
      </c>
      <c r="G405" s="7" t="n">
        <v>5</v>
      </c>
      <c r="H405" s="6" t="n">
        <v>82.56</v>
      </c>
      <c r="I405" s="6" t="n">
        <v>-4128</v>
      </c>
      <c r="J405" s="6" t="n">
        <v>-75.5</v>
      </c>
      <c r="K405" s="6" t="n">
        <v>-2.41</v>
      </c>
      <c r="L405" s="6" t="n">
        <v>0</v>
      </c>
      <c r="M405" s="6" t="s">
        <f>=I405+J405+K405+L405</f>
      </c>
      <c r="N405" s="6"/>
      <c r="O405" s="16"/>
    </row>
    <row collapsed="false" customFormat="false" customHeight="false" hidden="false" ht="12.1" outlineLevel="0" r="406">
      <c r="A406" s="21" t="n">
        <v>45496</v>
      </c>
      <c r="B406" s="22" t="s">
        <v>710</v>
      </c>
      <c r="C406" s="22" t="s">
        <v>255</v>
      </c>
      <c r="D406" s="22" t="s">
        <v>710</v>
      </c>
      <c r="E406" s="22" t="s">
        <v>710</v>
      </c>
      <c r="F406" s="22" t="s">
        <v>20</v>
      </c>
      <c r="G406" s="23" t="n">
        <v>2</v>
      </c>
      <c r="H406" s="24" t="n">
        <v>12720</v>
      </c>
      <c r="I406" s="24" t="n">
        <v>25440</v>
      </c>
      <c r="J406" s="24" t="n">
        <v>0</v>
      </c>
      <c r="K406" s="24" t="n">
        <v>0</v>
      </c>
      <c r="L406" s="24" t="n">
        <v>0</v>
      </c>
      <c r="M406" s="6" t="s">
        <f>=I406+J406+K406+L406</f>
      </c>
      <c r="N406" s="24"/>
      <c r="O406" s="22"/>
    </row>
    <row collapsed="false" customFormat="false" customHeight="false" hidden="false" ht="12.1" outlineLevel="0" r="407">
      <c r="A407" s="20" t="n">
        <v>45496.607407407</v>
      </c>
      <c r="B407" s="16" t="s">
        <v>171</v>
      </c>
      <c r="C407" s="16" t="s">
        <v>797</v>
      </c>
      <c r="D407" s="16" t="s">
        <v>587</v>
      </c>
      <c r="E407" s="16" t="s">
        <v>135</v>
      </c>
      <c r="F407" s="16" t="s">
        <v>20</v>
      </c>
      <c r="G407" s="7" t="n">
        <v>10</v>
      </c>
      <c r="H407" s="6" t="n">
        <v>69.86</v>
      </c>
      <c r="I407" s="6" t="n">
        <v>-6986</v>
      </c>
      <c r="J407" s="6" t="n">
        <v>-78.4</v>
      </c>
      <c r="K407" s="6" t="n">
        <v>-4.08</v>
      </c>
      <c r="L407" s="6" t="n">
        <v>0</v>
      </c>
      <c r="M407" s="6" t="s">
        <f>=I407+J407+K407+L407</f>
      </c>
      <c r="N407" s="6"/>
      <c r="O407" s="16"/>
    </row>
    <row collapsed="false" customFormat="false" customHeight="false" hidden="false" ht="12.1" outlineLevel="0" r="408">
      <c r="A408" s="20" t="n">
        <v>45496.608981481</v>
      </c>
      <c r="B408" s="16" t="s">
        <v>162</v>
      </c>
      <c r="C408" s="16" t="s">
        <v>787</v>
      </c>
      <c r="D408" s="16" t="s">
        <v>587</v>
      </c>
      <c r="E408" s="16" t="s">
        <v>135</v>
      </c>
      <c r="F408" s="16" t="s">
        <v>20</v>
      </c>
      <c r="G408" s="7" t="n">
        <v>9</v>
      </c>
      <c r="H408" s="6" t="n">
        <v>87.82</v>
      </c>
      <c r="I408" s="6" t="n">
        <v>-7903.8</v>
      </c>
      <c r="J408" s="6" t="n">
        <v>-200.43</v>
      </c>
      <c r="K408" s="6" t="n">
        <v>-4.61</v>
      </c>
      <c r="L408" s="6" t="n">
        <v>0</v>
      </c>
      <c r="M408" s="6" t="s">
        <f>=I408+J408+K408+L408</f>
      </c>
      <c r="N408" s="6"/>
      <c r="O408" s="16"/>
    </row>
    <row collapsed="false" customFormat="false" customHeight="false" hidden="false" ht="12.1" outlineLevel="0" r="409">
      <c r="A409" s="20" t="n">
        <v>45496.609814815</v>
      </c>
      <c r="B409" s="16" t="s">
        <v>147</v>
      </c>
      <c r="C409" s="16" t="s">
        <v>756</v>
      </c>
      <c r="D409" s="16" t="s">
        <v>587</v>
      </c>
      <c r="E409" s="16" t="s">
        <v>135</v>
      </c>
      <c r="F409" s="16" t="s">
        <v>20</v>
      </c>
      <c r="G409" s="7" t="n">
        <v>5</v>
      </c>
      <c r="H409" s="6" t="n">
        <v>88.63</v>
      </c>
      <c r="I409" s="6" t="n">
        <v>-4431.5</v>
      </c>
      <c r="J409" s="6" t="n">
        <v>-50.3</v>
      </c>
      <c r="K409" s="6" t="n">
        <v>-2.6</v>
      </c>
      <c r="L409" s="6" t="n">
        <v>0</v>
      </c>
      <c r="M409" s="6" t="s">
        <f>=I409+J409+K409+L409</f>
      </c>
      <c r="N409" s="6"/>
      <c r="O409" s="16"/>
    </row>
    <row collapsed="false" customFormat="false" customHeight="false" hidden="false" ht="12.1" outlineLevel="0" r="410">
      <c r="A410" s="20" t="n">
        <v>45496.611666667</v>
      </c>
      <c r="B410" s="16" t="s">
        <v>177</v>
      </c>
      <c r="C410" s="16" t="s">
        <v>755</v>
      </c>
      <c r="D410" s="16" t="s">
        <v>587</v>
      </c>
      <c r="E410" s="16" t="s">
        <v>135</v>
      </c>
      <c r="F410" s="16" t="s">
        <v>20</v>
      </c>
      <c r="G410" s="7" t="n">
        <v>3</v>
      </c>
      <c r="H410" s="6" t="n">
        <v>89.62</v>
      </c>
      <c r="I410" s="6" t="n">
        <v>-2688.6</v>
      </c>
      <c r="J410" s="6" t="n">
        <v>-22.53</v>
      </c>
      <c r="K410" s="6" t="n">
        <v>-1.57</v>
      </c>
      <c r="L410" s="6" t="n">
        <v>0</v>
      </c>
      <c r="M410" s="6" t="s">
        <f>=I410+J410+K410+L410</f>
      </c>
      <c r="N410" s="6"/>
      <c r="O410" s="16"/>
    </row>
    <row collapsed="false" customFormat="false" customHeight="false" hidden="false" ht="12.1" outlineLevel="0" r="411">
      <c r="A411" s="20" t="n">
        <v>45496.625902778</v>
      </c>
      <c r="B411" s="16" t="s">
        <v>156</v>
      </c>
      <c r="C411" s="16" t="s">
        <v>767</v>
      </c>
      <c r="D411" s="16" t="s">
        <v>587</v>
      </c>
      <c r="E411" s="16" t="s">
        <v>135</v>
      </c>
      <c r="F411" s="16" t="s">
        <v>20</v>
      </c>
      <c r="G411" s="7" t="n">
        <v>3</v>
      </c>
      <c r="H411" s="6" t="n">
        <v>71</v>
      </c>
      <c r="I411" s="6" t="n">
        <v>-2130</v>
      </c>
      <c r="J411" s="6" t="n">
        <v>-69.39</v>
      </c>
      <c r="K411" s="6" t="n">
        <v>-1.25</v>
      </c>
      <c r="L411" s="6" t="n">
        <v>0</v>
      </c>
      <c r="M411" s="6" t="s">
        <f>=I411+J411+K411+L411</f>
      </c>
      <c r="N411" s="6"/>
      <c r="O411" s="16"/>
    </row>
    <row collapsed="false" customFormat="false" customHeight="false" hidden="false" ht="12.1" outlineLevel="0" r="412">
      <c r="A412" s="20" t="n">
        <v>45496.626979167</v>
      </c>
      <c r="B412" s="16" t="s">
        <v>192</v>
      </c>
      <c r="C412" s="16" t="s">
        <v>769</v>
      </c>
      <c r="D412" s="16" t="s">
        <v>587</v>
      </c>
      <c r="E412" s="16" t="s">
        <v>135</v>
      </c>
      <c r="F412" s="16" t="s">
        <v>20</v>
      </c>
      <c r="G412" s="7" t="n">
        <v>1</v>
      </c>
      <c r="H412" s="6" t="n">
        <v>90.97</v>
      </c>
      <c r="I412" s="6" t="n">
        <v>-909.7</v>
      </c>
      <c r="J412" s="6" t="n">
        <v>-23.65</v>
      </c>
      <c r="K412" s="6" t="n">
        <v>-0.52</v>
      </c>
      <c r="L412" s="6" t="n">
        <v>0</v>
      </c>
      <c r="M412" s="6" t="s">
        <f>=I412+J412+K412+L412</f>
      </c>
      <c r="N412" s="6"/>
      <c r="O412" s="16"/>
    </row>
    <row collapsed="false" customFormat="false" customHeight="false" hidden="false" ht="12.1" outlineLevel="0" r="413">
      <c r="A413" s="21" t="n">
        <v>45497</v>
      </c>
      <c r="B413" s="22" t="s">
        <v>710</v>
      </c>
      <c r="C413" s="22" t="s">
        <v>255</v>
      </c>
      <c r="D413" s="22" t="s">
        <v>710</v>
      </c>
      <c r="E413" s="22" t="s">
        <v>710</v>
      </c>
      <c r="F413" s="22" t="s">
        <v>20</v>
      </c>
      <c r="G413" s="23" t="n">
        <v>1</v>
      </c>
      <c r="H413" s="24" t="n">
        <v>10</v>
      </c>
      <c r="I413" s="24" t="n">
        <v>10</v>
      </c>
      <c r="J413" s="24" t="n">
        <v>0</v>
      </c>
      <c r="K413" s="24" t="n">
        <v>0</v>
      </c>
      <c r="L413" s="24" t="n">
        <v>0</v>
      </c>
      <c r="M413" s="6" t="s">
        <f>=I413+J413+K413+L413</f>
      </c>
      <c r="N413" s="24"/>
      <c r="O413" s="22"/>
    </row>
    <row collapsed="false" customFormat="false" customHeight="false" hidden="false" ht="12.1" outlineLevel="0" r="414">
      <c r="A414" s="25" t="n">
        <v>45499.86400463</v>
      </c>
      <c r="B414" s="26" t="s">
        <v>598</v>
      </c>
      <c r="C414" s="26" t="s">
        <v>738</v>
      </c>
      <c r="D414" s="26" t="s">
        <v>588</v>
      </c>
      <c r="E414" s="26" t="s">
        <v>18</v>
      </c>
      <c r="F414" s="26" t="s">
        <v>20</v>
      </c>
      <c r="G414" s="27" t="n">
        <v>-5</v>
      </c>
      <c r="H414" s="28" t="n">
        <v>136</v>
      </c>
      <c r="I414" s="28" t="n">
        <v>680</v>
      </c>
      <c r="J414" s="28" t="n">
        <v>0</v>
      </c>
      <c r="K414" s="28" t="n">
        <v>-0.55</v>
      </c>
      <c r="L414" s="28" t="n">
        <v>0</v>
      </c>
      <c r="M414" s="6" t="s">
        <f>=I414+J414+K414+L414</f>
      </c>
      <c r="N414" s="28"/>
      <c r="O414" s="26"/>
    </row>
    <row collapsed="false" customFormat="false" customHeight="false" hidden="false" ht="12.1" outlineLevel="0" r="415">
      <c r="A415" s="20" t="n">
        <v>45499.872488426</v>
      </c>
      <c r="B415" s="16" t="s">
        <v>128</v>
      </c>
      <c r="C415" s="16" t="s">
        <v>721</v>
      </c>
      <c r="D415" s="16" t="s">
        <v>587</v>
      </c>
      <c r="E415" s="16" t="s">
        <v>122</v>
      </c>
      <c r="F415" s="16" t="s">
        <v>20</v>
      </c>
      <c r="G415" s="7" t="n">
        <v>470</v>
      </c>
      <c r="H415" s="6" t="n">
        <v>1.4425</v>
      </c>
      <c r="I415" s="6" t="n">
        <v>-677.98</v>
      </c>
      <c r="J415" s="6" t="n">
        <v>0</v>
      </c>
      <c r="K415" s="6" t="n">
        <v>0</v>
      </c>
      <c r="L415" s="6" t="n">
        <v>0</v>
      </c>
      <c r="M415" s="6" t="s">
        <f>=I415+J415+K415+L415</f>
      </c>
      <c r="N415" s="6"/>
      <c r="O415" s="16"/>
    </row>
    <row collapsed="false" customFormat="false" customHeight="false" hidden="false" ht="12.1" outlineLevel="0" r="416">
      <c r="A416" s="21" t="n">
        <v>45503</v>
      </c>
      <c r="B416" s="22" t="s">
        <v>710</v>
      </c>
      <c r="C416" s="22" t="s">
        <v>255</v>
      </c>
      <c r="D416" s="22" t="s">
        <v>710</v>
      </c>
      <c r="E416" s="22" t="s">
        <v>710</v>
      </c>
      <c r="F416" s="22" t="s">
        <v>20</v>
      </c>
      <c r="G416" s="23" t="n">
        <v>1</v>
      </c>
      <c r="H416" s="24" t="n">
        <v>4150</v>
      </c>
      <c r="I416" s="24" t="n">
        <v>4150</v>
      </c>
      <c r="J416" s="24" t="n">
        <v>0</v>
      </c>
      <c r="K416" s="24" t="n">
        <v>0</v>
      </c>
      <c r="L416" s="24" t="n">
        <v>0</v>
      </c>
      <c r="M416" s="6" t="s">
        <f>=I416+J416+K416+L416</f>
      </c>
      <c r="N416" s="24"/>
      <c r="O416" s="22"/>
    </row>
    <row collapsed="false" customFormat="false" customHeight="false" hidden="false" ht="12.1" outlineLevel="0" r="417">
      <c r="A417" s="20" t="n">
        <v>45503.46087963</v>
      </c>
      <c r="B417" s="16" t="s">
        <v>17</v>
      </c>
      <c r="C417" s="16" t="s">
        <v>711</v>
      </c>
      <c r="D417" s="16" t="s">
        <v>587</v>
      </c>
      <c r="E417" s="16" t="s">
        <v>18</v>
      </c>
      <c r="F417" s="16" t="s">
        <v>20</v>
      </c>
      <c r="G417" s="7" t="n">
        <v>10</v>
      </c>
      <c r="H417" s="6" t="n">
        <v>506.45</v>
      </c>
      <c r="I417" s="6" t="n">
        <v>-5064.5</v>
      </c>
      <c r="J417" s="6" t="n">
        <v>0</v>
      </c>
      <c r="K417" s="6" t="n">
        <v>-4.05</v>
      </c>
      <c r="L417" s="6" t="n">
        <v>0</v>
      </c>
      <c r="M417" s="6" t="s">
        <f>=I417+J417+K417+L417</f>
      </c>
      <c r="N417" s="6"/>
      <c r="O417" s="16"/>
    </row>
    <row collapsed="false" customFormat="false" customHeight="false" hidden="false" ht="12.1" outlineLevel="0" r="418">
      <c r="A418" s="25" t="n">
        <v>45503.46150463</v>
      </c>
      <c r="B418" s="26" t="s">
        <v>128</v>
      </c>
      <c r="C418" s="26" t="s">
        <v>721</v>
      </c>
      <c r="D418" s="26" t="s">
        <v>588</v>
      </c>
      <c r="E418" s="26" t="s">
        <v>122</v>
      </c>
      <c r="F418" s="26" t="s">
        <v>20</v>
      </c>
      <c r="G418" s="27" t="n">
        <v>-670</v>
      </c>
      <c r="H418" s="28" t="n">
        <v>1.4439</v>
      </c>
      <c r="I418" s="28" t="n">
        <v>967.41</v>
      </c>
      <c r="J418" s="28" t="n">
        <v>0</v>
      </c>
      <c r="K418" s="28" t="n">
        <v>0</v>
      </c>
      <c r="L418" s="28" t="n">
        <v>0</v>
      </c>
      <c r="M418" s="6" t="s">
        <f>=I418+J418+K418+L418</f>
      </c>
      <c r="N418" s="28"/>
      <c r="O418" s="26"/>
    </row>
    <row collapsed="false" customFormat="false" customHeight="false" hidden="false" ht="12.1" outlineLevel="0" r="419">
      <c r="A419" s="21" t="n">
        <v>45505</v>
      </c>
      <c r="B419" s="22" t="s">
        <v>785</v>
      </c>
      <c r="C419" s="22" t="s">
        <v>815</v>
      </c>
      <c r="D419" s="22" t="s">
        <v>785</v>
      </c>
      <c r="E419" s="22" t="s">
        <v>785</v>
      </c>
      <c r="F419" s="22" t="s">
        <v>20</v>
      </c>
      <c r="G419" s="23" t="n">
        <v>1</v>
      </c>
      <c r="H419" s="24" t="n">
        <v>353.5</v>
      </c>
      <c r="I419" s="24" t="n">
        <v>353.5</v>
      </c>
      <c r="J419" s="24" t="n">
        <v>0</v>
      </c>
      <c r="K419" s="24" t="n">
        <v>0</v>
      </c>
      <c r="L419" s="24" t="n">
        <v>0</v>
      </c>
      <c r="M419" s="6" t="s">
        <f>=I419+J419+K419+L419</f>
      </c>
      <c r="N419" s="24"/>
      <c r="O419" s="22"/>
    </row>
    <row collapsed="false" customFormat="false" customHeight="false" hidden="false" ht="12.1" outlineLevel="0" r="420">
      <c r="A420" s="21" t="n">
        <v>45505</v>
      </c>
      <c r="B420" s="22" t="s">
        <v>710</v>
      </c>
      <c r="C420" s="22" t="s">
        <v>255</v>
      </c>
      <c r="D420" s="22" t="s">
        <v>710</v>
      </c>
      <c r="E420" s="22" t="s">
        <v>710</v>
      </c>
      <c r="F420" s="22" t="s">
        <v>20</v>
      </c>
      <c r="G420" s="23" t="n">
        <v>1</v>
      </c>
      <c r="H420" s="24" t="n">
        <v>30</v>
      </c>
      <c r="I420" s="24" t="n">
        <v>30</v>
      </c>
      <c r="J420" s="24" t="n">
        <v>0</v>
      </c>
      <c r="K420" s="24" t="n">
        <v>0</v>
      </c>
      <c r="L420" s="24" t="n">
        <v>0</v>
      </c>
      <c r="M420" s="6" t="s">
        <f>=I420+J420+K420+L420</f>
      </c>
      <c r="N420" s="24"/>
      <c r="O420" s="22"/>
    </row>
    <row collapsed="false" customFormat="false" customHeight="false" hidden="false" ht="12.1" outlineLevel="0" r="421">
      <c r="A421" s="20" t="n">
        <v>45505.67369213</v>
      </c>
      <c r="B421" s="16" t="s">
        <v>121</v>
      </c>
      <c r="C421" s="16" t="s">
        <v>774</v>
      </c>
      <c r="D421" s="16" t="s">
        <v>587</v>
      </c>
      <c r="E421" s="16" t="s">
        <v>122</v>
      </c>
      <c r="F421" s="16" t="s">
        <v>20</v>
      </c>
      <c r="G421" s="7" t="n">
        <v>3</v>
      </c>
      <c r="H421" s="6" t="n">
        <v>143.18</v>
      </c>
      <c r="I421" s="6" t="n">
        <v>-429.54</v>
      </c>
      <c r="J421" s="6" t="n">
        <v>0</v>
      </c>
      <c r="K421" s="6" t="n">
        <v>-0.13</v>
      </c>
      <c r="L421" s="6" t="n">
        <v>0</v>
      </c>
      <c r="M421" s="6" t="s">
        <f>=I421+J421+K421+L421</f>
      </c>
      <c r="N421" s="6"/>
      <c r="O421" s="16"/>
    </row>
    <row collapsed="false" customFormat="false" customHeight="false" hidden="false" ht="12.1" outlineLevel="0" r="422">
      <c r="A422" s="21" t="n">
        <v>45506</v>
      </c>
      <c r="B422" s="22" t="s">
        <v>710</v>
      </c>
      <c r="C422" s="22" t="s">
        <v>255</v>
      </c>
      <c r="D422" s="22" t="s">
        <v>710</v>
      </c>
      <c r="E422" s="22" t="s">
        <v>710</v>
      </c>
      <c r="F422" s="22" t="s">
        <v>20</v>
      </c>
      <c r="G422" s="23" t="n">
        <v>2</v>
      </c>
      <c r="H422" s="24" t="n">
        <v>235</v>
      </c>
      <c r="I422" s="24" t="n">
        <v>470</v>
      </c>
      <c r="J422" s="24" t="n">
        <v>0</v>
      </c>
      <c r="K422" s="24" t="n">
        <v>0</v>
      </c>
      <c r="L422" s="24" t="n">
        <v>0</v>
      </c>
      <c r="M422" s="6" t="s">
        <f>=I422+J422+K422+L422</f>
      </c>
      <c r="N422" s="24"/>
      <c r="O422" s="22"/>
    </row>
    <row collapsed="false" customFormat="false" customHeight="false" hidden="false" ht="12.1" outlineLevel="0" r="423">
      <c r="A423" s="21" t="n">
        <v>45506</v>
      </c>
      <c r="B423" s="22" t="s">
        <v>785</v>
      </c>
      <c r="C423" s="22" t="s">
        <v>816</v>
      </c>
      <c r="D423" s="22" t="s">
        <v>785</v>
      </c>
      <c r="E423" s="22" t="s">
        <v>785</v>
      </c>
      <c r="F423" s="22" t="s">
        <v>20</v>
      </c>
      <c r="G423" s="23" t="n">
        <v>1</v>
      </c>
      <c r="H423" s="24" t="n">
        <v>412.5</v>
      </c>
      <c r="I423" s="24" t="n">
        <v>412.5</v>
      </c>
      <c r="J423" s="24" t="n">
        <v>0</v>
      </c>
      <c r="K423" s="24" t="n">
        <v>0</v>
      </c>
      <c r="L423" s="24" t="n">
        <v>0</v>
      </c>
      <c r="M423" s="6" t="s">
        <f>=I423+J423+K423+L423</f>
      </c>
      <c r="N423" s="24"/>
      <c r="O423" s="22"/>
    </row>
    <row collapsed="false" customFormat="false" customHeight="false" hidden="false" ht="12.1" outlineLevel="0" r="424">
      <c r="A424" s="20" t="n">
        <v>45506.528935185</v>
      </c>
      <c r="B424" s="16" t="s">
        <v>114</v>
      </c>
      <c r="C424" s="16" t="s">
        <v>817</v>
      </c>
      <c r="D424" s="16" t="s">
        <v>587</v>
      </c>
      <c r="E424" s="16" t="s">
        <v>18</v>
      </c>
      <c r="F424" s="16" t="s">
        <v>20</v>
      </c>
      <c r="G424" s="7" t="n">
        <v>2</v>
      </c>
      <c r="H424" s="6" t="n">
        <v>227.97</v>
      </c>
      <c r="I424" s="6" t="n">
        <v>-455.94</v>
      </c>
      <c r="J424" s="6" t="n">
        <v>0</v>
      </c>
      <c r="K424" s="6" t="n">
        <v>-0.37</v>
      </c>
      <c r="L424" s="6" t="n">
        <v>0</v>
      </c>
      <c r="M424" s="6" t="s">
        <f>=I424+J424+K424+L424</f>
      </c>
      <c r="N424" s="6"/>
      <c r="O424" s="16"/>
    </row>
    <row collapsed="false" customFormat="false" customHeight="false" hidden="false" ht="12.1" outlineLevel="0" r="425">
      <c r="A425" s="20" t="n">
        <v>45506.692164352</v>
      </c>
      <c r="B425" s="16" t="s">
        <v>121</v>
      </c>
      <c r="C425" s="16" t="s">
        <v>774</v>
      </c>
      <c r="D425" s="16" t="s">
        <v>587</v>
      </c>
      <c r="E425" s="16" t="s">
        <v>122</v>
      </c>
      <c r="F425" s="16" t="s">
        <v>20</v>
      </c>
      <c r="G425" s="7" t="n">
        <v>3</v>
      </c>
      <c r="H425" s="6" t="n">
        <v>142.96</v>
      </c>
      <c r="I425" s="6" t="n">
        <v>-428.88</v>
      </c>
      <c r="J425" s="6" t="n">
        <v>0</v>
      </c>
      <c r="K425" s="6" t="n">
        <v>-0.13</v>
      </c>
      <c r="L425" s="6" t="n">
        <v>0</v>
      </c>
      <c r="M425" s="6" t="s">
        <f>=I425+J425+K425+L425</f>
      </c>
      <c r="N425" s="6"/>
      <c r="O425" s="16"/>
    </row>
    <row collapsed="false" customFormat="false" customHeight="false" hidden="false" ht="12.1" outlineLevel="0" r="426">
      <c r="A426" s="21" t="n">
        <v>45509</v>
      </c>
      <c r="B426" s="22" t="s">
        <v>710</v>
      </c>
      <c r="C426" s="22" t="s">
        <v>255</v>
      </c>
      <c r="D426" s="22" t="s">
        <v>710</v>
      </c>
      <c r="E426" s="22" t="s">
        <v>710</v>
      </c>
      <c r="F426" s="22" t="s">
        <v>20</v>
      </c>
      <c r="G426" s="23" t="n">
        <v>1</v>
      </c>
      <c r="H426" s="24" t="n">
        <v>55000</v>
      </c>
      <c r="I426" s="24" t="n">
        <v>55000</v>
      </c>
      <c r="J426" s="24" t="n">
        <v>0</v>
      </c>
      <c r="K426" s="24" t="n">
        <v>0</v>
      </c>
      <c r="L426" s="24" t="n">
        <v>0</v>
      </c>
      <c r="M426" s="6" t="s">
        <f>=I426+J426+K426+L426</f>
      </c>
      <c r="N426" s="24"/>
      <c r="O426" s="22"/>
    </row>
    <row collapsed="false" customFormat="false" customHeight="false" hidden="false" ht="12.1" outlineLevel="0" r="427">
      <c r="A427" s="20" t="n">
        <v>45509.422916667</v>
      </c>
      <c r="B427" s="16" t="s">
        <v>141</v>
      </c>
      <c r="C427" s="16" t="s">
        <v>818</v>
      </c>
      <c r="D427" s="16" t="s">
        <v>587</v>
      </c>
      <c r="E427" s="16" t="s">
        <v>135</v>
      </c>
      <c r="F427" s="16" t="s">
        <v>20</v>
      </c>
      <c r="G427" s="7" t="n">
        <v>47</v>
      </c>
      <c r="H427" s="6" t="n">
        <v>68.591340425532</v>
      </c>
      <c r="I427" s="6" t="n">
        <v>-32237.93</v>
      </c>
      <c r="J427" s="6" t="n">
        <v>-782.55</v>
      </c>
      <c r="K427" s="6" t="n">
        <v>-20.95</v>
      </c>
      <c r="L427" s="6" t="n">
        <v>0</v>
      </c>
      <c r="M427" s="6" t="s">
        <f>=I427+J427+K427+L427</f>
      </c>
      <c r="N427" s="6"/>
      <c r="O427" s="16"/>
    </row>
    <row collapsed="false" customFormat="false" customHeight="false" hidden="false" ht="12.1" outlineLevel="0" r="428">
      <c r="A428" s="20" t="n">
        <v>45509.423680556</v>
      </c>
      <c r="B428" s="16" t="s">
        <v>186</v>
      </c>
      <c r="C428" s="16" t="s">
        <v>819</v>
      </c>
      <c r="D428" s="16" t="s">
        <v>587</v>
      </c>
      <c r="E428" s="16" t="s">
        <v>135</v>
      </c>
      <c r="F428" s="16" t="s">
        <v>20</v>
      </c>
      <c r="G428" s="7" t="n">
        <v>10</v>
      </c>
      <c r="H428" s="6" t="n">
        <v>72.3341</v>
      </c>
      <c r="I428" s="6" t="n">
        <v>-7233.41</v>
      </c>
      <c r="J428" s="6" t="n">
        <v>-118.7</v>
      </c>
      <c r="K428" s="6" t="n">
        <v>-4.7</v>
      </c>
      <c r="L428" s="6" t="n">
        <v>0</v>
      </c>
      <c r="M428" s="6" t="s">
        <f>=I428+J428+K428+L428</f>
      </c>
      <c r="N428" s="6"/>
      <c r="O428" s="16"/>
    </row>
    <row collapsed="false" customFormat="false" customHeight="false" hidden="false" ht="12.1" outlineLevel="0" r="429">
      <c r="A429" s="20" t="n">
        <v>45509.426122685</v>
      </c>
      <c r="B429" s="16" t="s">
        <v>177</v>
      </c>
      <c r="C429" s="16" t="s">
        <v>755</v>
      </c>
      <c r="D429" s="16" t="s">
        <v>587</v>
      </c>
      <c r="E429" s="16" t="s">
        <v>135</v>
      </c>
      <c r="F429" s="16" t="s">
        <v>20</v>
      </c>
      <c r="G429" s="7" t="n">
        <v>3</v>
      </c>
      <c r="H429" s="6" t="n">
        <v>91.57</v>
      </c>
      <c r="I429" s="6" t="n">
        <v>-2747.1</v>
      </c>
      <c r="J429" s="6" t="n">
        <v>-3.39</v>
      </c>
      <c r="K429" s="6" t="n">
        <v>-1.79</v>
      </c>
      <c r="L429" s="6" t="n">
        <v>0</v>
      </c>
      <c r="M429" s="6" t="s">
        <f>=I429+J429+K429+L429</f>
      </c>
      <c r="N429" s="6"/>
      <c r="O429" s="16"/>
    </row>
    <row collapsed="false" customFormat="false" customHeight="false" hidden="false" ht="12.1" outlineLevel="0" r="430">
      <c r="A430" s="20" t="n">
        <v>45509.429409722</v>
      </c>
      <c r="B430" s="16" t="s">
        <v>171</v>
      </c>
      <c r="C430" s="16" t="s">
        <v>797</v>
      </c>
      <c r="D430" s="16" t="s">
        <v>587</v>
      </c>
      <c r="E430" s="16" t="s">
        <v>135</v>
      </c>
      <c r="F430" s="16" t="s">
        <v>20</v>
      </c>
      <c r="G430" s="7" t="n">
        <v>3</v>
      </c>
      <c r="H430" s="6" t="n">
        <v>68.853333333333</v>
      </c>
      <c r="I430" s="6" t="n">
        <v>-2065.6</v>
      </c>
      <c r="J430" s="6" t="n">
        <v>-31.14</v>
      </c>
      <c r="K430" s="6" t="n">
        <v>-1.34</v>
      </c>
      <c r="L430" s="6" t="n">
        <v>0</v>
      </c>
      <c r="M430" s="6" t="s">
        <f>=I430+J430+K430+L430</f>
      </c>
      <c r="N430" s="6"/>
      <c r="O430" s="16"/>
    </row>
    <row collapsed="false" customFormat="false" customHeight="false" hidden="false" ht="12.1" outlineLevel="0" r="431">
      <c r="A431" s="20" t="n">
        <v>45509.430717593</v>
      </c>
      <c r="B431" s="16" t="s">
        <v>40</v>
      </c>
      <c r="C431" s="16" t="s">
        <v>813</v>
      </c>
      <c r="D431" s="16" t="s">
        <v>587</v>
      </c>
      <c r="E431" s="16" t="s">
        <v>18</v>
      </c>
      <c r="F431" s="16" t="s">
        <v>20</v>
      </c>
      <c r="G431" s="7" t="n">
        <v>300</v>
      </c>
      <c r="H431" s="6" t="n">
        <v>14.19</v>
      </c>
      <c r="I431" s="6" t="n">
        <v>-4257</v>
      </c>
      <c r="J431" s="6" t="n">
        <v>0</v>
      </c>
      <c r="K431" s="6" t="n">
        <v>-3.4</v>
      </c>
      <c r="L431" s="6" t="n">
        <v>0</v>
      </c>
      <c r="M431" s="6" t="s">
        <f>=I431+J431+K431+L431</f>
      </c>
      <c r="N431" s="6"/>
      <c r="O431" s="16"/>
    </row>
    <row collapsed="false" customFormat="false" customHeight="false" hidden="false" ht="12.1" outlineLevel="0" r="432">
      <c r="A432" s="20" t="n">
        <v>45509.440833333</v>
      </c>
      <c r="B432" s="16" t="s">
        <v>604</v>
      </c>
      <c r="C432" s="16" t="s">
        <v>759</v>
      </c>
      <c r="D432" s="16" t="s">
        <v>587</v>
      </c>
      <c r="E432" s="16" t="s">
        <v>135</v>
      </c>
      <c r="F432" s="16" t="s">
        <v>20</v>
      </c>
      <c r="G432" s="7" t="n">
        <v>2</v>
      </c>
      <c r="H432" s="6" t="n">
        <v>94.5</v>
      </c>
      <c r="I432" s="6" t="n">
        <v>-1890</v>
      </c>
      <c r="J432" s="6" t="n">
        <v>-11.84</v>
      </c>
      <c r="K432" s="6" t="n">
        <v>-1.23</v>
      </c>
      <c r="L432" s="6" t="n">
        <v>0</v>
      </c>
      <c r="M432" s="6" t="s">
        <f>=I432+J432+K432+L432</f>
      </c>
      <c r="N432" s="6"/>
      <c r="O432" s="16"/>
    </row>
    <row collapsed="false" customFormat="false" customHeight="false" hidden="false" ht="12.1" outlineLevel="0" r="433">
      <c r="A433" s="20" t="n">
        <v>45509.483680556</v>
      </c>
      <c r="B433" s="16" t="s">
        <v>180</v>
      </c>
      <c r="C433" s="16" t="s">
        <v>796</v>
      </c>
      <c r="D433" s="16" t="s">
        <v>587</v>
      </c>
      <c r="E433" s="16" t="s">
        <v>135</v>
      </c>
      <c r="F433" s="16" t="s">
        <v>20</v>
      </c>
      <c r="G433" s="7" t="n">
        <v>5</v>
      </c>
      <c r="H433" s="6" t="n">
        <v>67.7</v>
      </c>
      <c r="I433" s="6" t="n">
        <v>-3385</v>
      </c>
      <c r="J433" s="6" t="n">
        <v>-11.1</v>
      </c>
      <c r="K433" s="6" t="n">
        <v>-2.19</v>
      </c>
      <c r="L433" s="6" t="n">
        <v>0</v>
      </c>
      <c r="M433" s="6" t="s">
        <f>=I433+J433+K433+L433</f>
      </c>
      <c r="N433" s="6"/>
      <c r="O433" s="16"/>
    </row>
    <row collapsed="false" customFormat="false" customHeight="false" hidden="false" ht="12.1" outlineLevel="0" r="434">
      <c r="A434" s="20" t="n">
        <v>45509.485532407</v>
      </c>
      <c r="B434" s="16" t="s">
        <v>121</v>
      </c>
      <c r="C434" s="16" t="s">
        <v>774</v>
      </c>
      <c r="D434" s="16" t="s">
        <v>587</v>
      </c>
      <c r="E434" s="16" t="s">
        <v>122</v>
      </c>
      <c r="F434" s="16" t="s">
        <v>20</v>
      </c>
      <c r="G434" s="7" t="n">
        <v>1</v>
      </c>
      <c r="H434" s="6" t="n">
        <v>143.48</v>
      </c>
      <c r="I434" s="6" t="n">
        <v>-143.48</v>
      </c>
      <c r="J434" s="6" t="n">
        <v>0</v>
      </c>
      <c r="K434" s="6" t="n">
        <v>-0.04</v>
      </c>
      <c r="L434" s="6" t="n">
        <v>0</v>
      </c>
      <c r="M434" s="6" t="s">
        <f>=I434+J434+K434+L434</f>
      </c>
      <c r="N434" s="6"/>
      <c r="O434" s="16"/>
    </row>
    <row collapsed="false" customFormat="false" customHeight="false" hidden="false" ht="12.1" outlineLevel="0" r="435">
      <c r="A435" s="25" t="n">
        <v>45517.875046296</v>
      </c>
      <c r="B435" s="26" t="s">
        <v>114</v>
      </c>
      <c r="C435" s="26" t="s">
        <v>817</v>
      </c>
      <c r="D435" s="26" t="s">
        <v>588</v>
      </c>
      <c r="E435" s="26" t="s">
        <v>18</v>
      </c>
      <c r="F435" s="26" t="s">
        <v>20</v>
      </c>
      <c r="G435" s="27" t="n">
        <v>-2</v>
      </c>
      <c r="H435" s="28" t="n">
        <v>264.06</v>
      </c>
      <c r="I435" s="28" t="n">
        <v>528.12</v>
      </c>
      <c r="J435" s="28" t="n">
        <v>0</v>
      </c>
      <c r="K435" s="28" t="n">
        <v>-0.42</v>
      </c>
      <c r="L435" s="28" t="n">
        <v>0</v>
      </c>
      <c r="M435" s="6" t="s">
        <f>=I435+J435+K435+L435</f>
      </c>
      <c r="N435" s="28"/>
      <c r="O435" s="26"/>
    </row>
    <row collapsed="false" customFormat="false" customHeight="false" hidden="false" ht="12.1" outlineLevel="0" r="436">
      <c r="A436" s="20" t="n">
        <v>45517.877847222</v>
      </c>
      <c r="B436" s="16" t="s">
        <v>128</v>
      </c>
      <c r="C436" s="16" t="s">
        <v>721</v>
      </c>
      <c r="D436" s="16" t="s">
        <v>587</v>
      </c>
      <c r="E436" s="16" t="s">
        <v>122</v>
      </c>
      <c r="F436" s="16" t="s">
        <v>20</v>
      </c>
      <c r="G436" s="7" t="n">
        <v>390</v>
      </c>
      <c r="H436" s="6" t="n">
        <v>1.4533</v>
      </c>
      <c r="I436" s="6" t="n">
        <v>-566.79</v>
      </c>
      <c r="J436" s="6" t="n">
        <v>0</v>
      </c>
      <c r="K436" s="6" t="n">
        <v>0</v>
      </c>
      <c r="L436" s="6" t="n">
        <v>0</v>
      </c>
      <c r="M436" s="6" t="s">
        <f>=I436+J436+K436+L436</f>
      </c>
      <c r="N436" s="6"/>
      <c r="O436" s="16"/>
    </row>
    <row collapsed="false" customFormat="false" customHeight="false" hidden="false" ht="12.1" outlineLevel="0" r="437">
      <c r="A437" s="21" t="n">
        <v>45526</v>
      </c>
      <c r="B437" s="22" t="s">
        <v>710</v>
      </c>
      <c r="C437" s="22" t="s">
        <v>255</v>
      </c>
      <c r="D437" s="22" t="s">
        <v>710</v>
      </c>
      <c r="E437" s="22" t="s">
        <v>710</v>
      </c>
      <c r="F437" s="22" t="s">
        <v>20</v>
      </c>
      <c r="G437" s="23" t="n">
        <v>1</v>
      </c>
      <c r="H437" s="24" t="n">
        <v>690</v>
      </c>
      <c r="I437" s="24" t="n">
        <v>690</v>
      </c>
      <c r="J437" s="24" t="n">
        <v>0</v>
      </c>
      <c r="K437" s="24" t="n">
        <v>0</v>
      </c>
      <c r="L437" s="24" t="n">
        <v>0</v>
      </c>
      <c r="M437" s="6" t="s">
        <f>=I437+J437+K437+L437</f>
      </c>
      <c r="N437" s="24"/>
      <c r="O437" s="22"/>
    </row>
    <row collapsed="false" customFormat="false" customHeight="false" hidden="false" ht="12.1" outlineLevel="0" r="438">
      <c r="A438" s="20" t="n">
        <v>45526.499444444</v>
      </c>
      <c r="B438" s="16" t="s">
        <v>121</v>
      </c>
      <c r="C438" s="16" t="s">
        <v>774</v>
      </c>
      <c r="D438" s="16" t="s">
        <v>587</v>
      </c>
      <c r="E438" s="16" t="s">
        <v>122</v>
      </c>
      <c r="F438" s="16" t="s">
        <v>20</v>
      </c>
      <c r="G438" s="7" t="n">
        <v>4</v>
      </c>
      <c r="H438" s="6" t="n">
        <v>143.86</v>
      </c>
      <c r="I438" s="6" t="n">
        <v>-575.44</v>
      </c>
      <c r="J438" s="6" t="n">
        <v>0</v>
      </c>
      <c r="K438" s="6" t="n">
        <v>-0.17</v>
      </c>
      <c r="L438" s="6" t="n">
        <v>0</v>
      </c>
      <c r="M438" s="6" t="s">
        <f>=I438+J438+K438+L438</f>
      </c>
      <c r="N438" s="6"/>
      <c r="O438" s="16"/>
    </row>
    <row collapsed="false" customFormat="false" customHeight="false" hidden="false" ht="12.1" outlineLevel="0" r="439">
      <c r="A439" s="20" t="n">
        <v>45526.816678241</v>
      </c>
      <c r="B439" s="16" t="s">
        <v>114</v>
      </c>
      <c r="C439" s="16" t="s">
        <v>817</v>
      </c>
      <c r="D439" s="16" t="s">
        <v>587</v>
      </c>
      <c r="E439" s="16" t="s">
        <v>18</v>
      </c>
      <c r="F439" s="16" t="s">
        <v>20</v>
      </c>
      <c r="G439" s="7" t="n">
        <v>3</v>
      </c>
      <c r="H439" s="6" t="n">
        <v>220.68666666667</v>
      </c>
      <c r="I439" s="6" t="n">
        <v>-662.06</v>
      </c>
      <c r="J439" s="6" t="n">
        <v>0</v>
      </c>
      <c r="K439" s="6" t="n">
        <v>-0.54</v>
      </c>
      <c r="L439" s="6" t="n">
        <v>0</v>
      </c>
      <c r="M439" s="6" t="s">
        <f>=I439+J439+K439+L439</f>
      </c>
      <c r="N439" s="6"/>
      <c r="O439" s="16"/>
    </row>
    <row collapsed="false" customFormat="false" customHeight="false" hidden="false" ht="12.1" outlineLevel="0" r="440">
      <c r="A440" s="25" t="n">
        <v>45526.817800926</v>
      </c>
      <c r="B440" s="26" t="s">
        <v>128</v>
      </c>
      <c r="C440" s="26" t="s">
        <v>721</v>
      </c>
      <c r="D440" s="26" t="s">
        <v>588</v>
      </c>
      <c r="E440" s="26" t="s">
        <v>122</v>
      </c>
      <c r="F440" s="26" t="s">
        <v>20</v>
      </c>
      <c r="G440" s="27" t="n">
        <v>-370</v>
      </c>
      <c r="H440" s="28" t="n">
        <v>1.4596</v>
      </c>
      <c r="I440" s="28" t="n">
        <v>540.05</v>
      </c>
      <c r="J440" s="28" t="n">
        <v>0</v>
      </c>
      <c r="K440" s="28" t="n">
        <v>0</v>
      </c>
      <c r="L440" s="28" t="n">
        <v>0</v>
      </c>
      <c r="M440" s="6" t="s">
        <f>=I440+J440+K440+L440</f>
      </c>
      <c r="N440" s="28"/>
      <c r="O440" s="26"/>
    </row>
    <row collapsed="false" customFormat="false" customHeight="false" hidden="false" ht="12.1" outlineLevel="0" r="441">
      <c r="A441" s="21" t="n">
        <v>45527</v>
      </c>
      <c r="B441" s="22" t="s">
        <v>710</v>
      </c>
      <c r="C441" s="22" t="s">
        <v>255</v>
      </c>
      <c r="D441" s="22" t="s">
        <v>710</v>
      </c>
      <c r="E441" s="22" t="s">
        <v>710</v>
      </c>
      <c r="F441" s="22" t="s">
        <v>20</v>
      </c>
      <c r="G441" s="23" t="n">
        <v>2</v>
      </c>
      <c r="H441" s="24" t="n">
        <v>3504.92</v>
      </c>
      <c r="I441" s="24" t="n">
        <v>7009.84</v>
      </c>
      <c r="J441" s="24" t="n">
        <v>0</v>
      </c>
      <c r="K441" s="24" t="n">
        <v>0</v>
      </c>
      <c r="L441" s="24" t="n">
        <v>0</v>
      </c>
      <c r="M441" s="6" t="s">
        <f>=I441+J441+K441+L441</f>
      </c>
      <c r="N441" s="24"/>
      <c r="O441" s="22"/>
    </row>
    <row collapsed="false" customFormat="false" customHeight="false" hidden="false" ht="12.1" outlineLevel="0" r="442">
      <c r="A442" s="20" t="n">
        <v>45527.727858796</v>
      </c>
      <c r="B442" s="16" t="s">
        <v>34</v>
      </c>
      <c r="C442" s="16" t="s">
        <v>820</v>
      </c>
      <c r="D442" s="16" t="s">
        <v>587</v>
      </c>
      <c r="E442" s="16" t="s">
        <v>18</v>
      </c>
      <c r="F442" s="16" t="s">
        <v>20</v>
      </c>
      <c r="G442" s="7" t="n">
        <v>400</v>
      </c>
      <c r="H442" s="6" t="n">
        <v>8.1</v>
      </c>
      <c r="I442" s="6" t="n">
        <v>-3240</v>
      </c>
      <c r="J442" s="6" t="n">
        <v>0</v>
      </c>
      <c r="K442" s="6" t="n">
        <v>-1.62</v>
      </c>
      <c r="L442" s="6" t="n">
        <v>0</v>
      </c>
      <c r="M442" s="6" t="s">
        <f>=I442+J442+K442+L442</f>
      </c>
      <c r="N442" s="6"/>
      <c r="O442" s="16"/>
    </row>
    <row collapsed="false" customFormat="false" customHeight="false" hidden="false" ht="12.1" outlineLevel="0" r="443">
      <c r="A443" s="20" t="n">
        <v>45527.8278125</v>
      </c>
      <c r="B443" s="16" t="s">
        <v>124</v>
      </c>
      <c r="C443" s="16" t="s">
        <v>719</v>
      </c>
      <c r="D443" s="16" t="s">
        <v>587</v>
      </c>
      <c r="E443" s="16" t="s">
        <v>122</v>
      </c>
      <c r="F443" s="16" t="s">
        <v>20</v>
      </c>
      <c r="G443" s="7" t="n">
        <v>30</v>
      </c>
      <c r="H443" s="6" t="n">
        <v>125.15</v>
      </c>
      <c r="I443" s="6" t="n">
        <v>-3754.5</v>
      </c>
      <c r="J443" s="6" t="n">
        <v>0</v>
      </c>
      <c r="K443" s="6" t="n">
        <v>-1.13</v>
      </c>
      <c r="L443" s="6" t="n">
        <v>0</v>
      </c>
      <c r="M443" s="6" t="s">
        <f>=I443+J443+K443+L443</f>
      </c>
      <c r="N443" s="6"/>
      <c r="O443" s="16"/>
    </row>
    <row collapsed="false" customFormat="false" customHeight="false" hidden="false" ht="12.1" outlineLevel="0" r="444">
      <c r="A444" s="21" t="n">
        <v>45530</v>
      </c>
      <c r="B444" s="22" t="s">
        <v>710</v>
      </c>
      <c r="C444" s="22" t="s">
        <v>255</v>
      </c>
      <c r="D444" s="22" t="s">
        <v>710</v>
      </c>
      <c r="E444" s="22" t="s">
        <v>710</v>
      </c>
      <c r="F444" s="22" t="s">
        <v>20</v>
      </c>
      <c r="G444" s="23" t="n">
        <v>1</v>
      </c>
      <c r="H444" s="24" t="n">
        <v>5300</v>
      </c>
      <c r="I444" s="24" t="n">
        <v>5300</v>
      </c>
      <c r="J444" s="24" t="n">
        <v>0</v>
      </c>
      <c r="K444" s="24" t="n">
        <v>0</v>
      </c>
      <c r="L444" s="24" t="n">
        <v>0</v>
      </c>
      <c r="M444" s="6" t="s">
        <f>=I444+J444+K444+L444</f>
      </c>
      <c r="N444" s="24"/>
      <c r="O444" s="22"/>
    </row>
    <row collapsed="false" customFormat="false" customHeight="false" hidden="false" ht="12.1" outlineLevel="0" r="445">
      <c r="A445" s="20" t="n">
        <v>45530.418506944</v>
      </c>
      <c r="B445" s="16" t="s">
        <v>49</v>
      </c>
      <c r="C445" s="16" t="s">
        <v>739</v>
      </c>
      <c r="D445" s="16" t="s">
        <v>587</v>
      </c>
      <c r="E445" s="16" t="s">
        <v>18</v>
      </c>
      <c r="F445" s="16" t="s">
        <v>20</v>
      </c>
      <c r="G445" s="7" t="n">
        <v>2</v>
      </c>
      <c r="H445" s="6" t="n">
        <v>657.95</v>
      </c>
      <c r="I445" s="6" t="n">
        <v>-1315.9</v>
      </c>
      <c r="J445" s="6" t="n">
        <v>0</v>
      </c>
      <c r="K445" s="6" t="n">
        <v>-1.06</v>
      </c>
      <c r="L445" s="6" t="n">
        <v>0</v>
      </c>
      <c r="M445" s="6" t="s">
        <f>=I445+J445+K445+L445</f>
      </c>
      <c r="N445" s="6"/>
      <c r="O445" s="16"/>
    </row>
    <row collapsed="false" customFormat="false" customHeight="false" hidden="false" ht="12.1" outlineLevel="0" r="446">
      <c r="A446" s="20" t="n">
        <v>45530.420138889</v>
      </c>
      <c r="B446" s="16" t="s">
        <v>98</v>
      </c>
      <c r="C446" s="16" t="s">
        <v>821</v>
      </c>
      <c r="D446" s="16" t="s">
        <v>587</v>
      </c>
      <c r="E446" s="16" t="s">
        <v>18</v>
      </c>
      <c r="F446" s="16" t="s">
        <v>20</v>
      </c>
      <c r="G446" s="7" t="n">
        <v>1</v>
      </c>
      <c r="H446" s="6" t="n">
        <v>1242.8</v>
      </c>
      <c r="I446" s="6" t="n">
        <v>-1242.8</v>
      </c>
      <c r="J446" s="6" t="n">
        <v>0</v>
      </c>
      <c r="K446" s="6" t="n">
        <v>-0.99</v>
      </c>
      <c r="L446" s="6" t="n">
        <v>0</v>
      </c>
      <c r="M446" s="6" t="s">
        <f>=I446+J446+K446+L446</f>
      </c>
      <c r="N446" s="6"/>
      <c r="O446" s="16"/>
    </row>
    <row collapsed="false" customFormat="false" customHeight="false" hidden="false" ht="12.1" outlineLevel="0" r="447">
      <c r="A447" s="20" t="n">
        <v>45530.420717593</v>
      </c>
      <c r="B447" s="16" t="s">
        <v>92</v>
      </c>
      <c r="C447" s="16" t="s">
        <v>727</v>
      </c>
      <c r="D447" s="16" t="s">
        <v>587</v>
      </c>
      <c r="E447" s="16" t="s">
        <v>18</v>
      </c>
      <c r="F447" s="16" t="s">
        <v>20</v>
      </c>
      <c r="G447" s="7" t="n">
        <v>1</v>
      </c>
      <c r="H447" s="6" t="n">
        <v>2697.6</v>
      </c>
      <c r="I447" s="6" t="n">
        <v>-2697.6</v>
      </c>
      <c r="J447" s="6" t="n">
        <v>0</v>
      </c>
      <c r="K447" s="6" t="n">
        <v>-2.16</v>
      </c>
      <c r="L447" s="6" t="n">
        <v>0</v>
      </c>
      <c r="M447" s="6" t="s">
        <f>=I447+J447+K447+L447</f>
      </c>
      <c r="N447" s="6"/>
      <c r="O447" s="16"/>
    </row>
    <row collapsed="false" customFormat="false" customHeight="false" hidden="false" ht="12.1" outlineLevel="0" r="448">
      <c r="A448" s="21" t="n">
        <v>45532</v>
      </c>
      <c r="B448" s="22" t="s">
        <v>710</v>
      </c>
      <c r="C448" s="22" t="s">
        <v>255</v>
      </c>
      <c r="D448" s="22" t="s">
        <v>710</v>
      </c>
      <c r="E448" s="22" t="s">
        <v>710</v>
      </c>
      <c r="F448" s="22" t="s">
        <v>20</v>
      </c>
      <c r="G448" s="23" t="n">
        <v>2</v>
      </c>
      <c r="H448" s="24" t="n">
        <v>835</v>
      </c>
      <c r="I448" s="24" t="n">
        <v>1670</v>
      </c>
      <c r="J448" s="24" t="n">
        <v>0</v>
      </c>
      <c r="K448" s="24" t="n">
        <v>0</v>
      </c>
      <c r="L448" s="24" t="n">
        <v>0</v>
      </c>
      <c r="M448" s="6" t="s">
        <f>=I448+J448+K448+L448</f>
      </c>
      <c r="N448" s="24"/>
      <c r="O448" s="22"/>
    </row>
    <row collapsed="false" customFormat="false" customHeight="false" hidden="false" ht="12.1" outlineLevel="0" r="449">
      <c r="A449" s="20" t="n">
        <v>45532.5859375</v>
      </c>
      <c r="B449" s="16" t="s">
        <v>598</v>
      </c>
      <c r="C449" s="16" t="s">
        <v>738</v>
      </c>
      <c r="D449" s="16" t="s">
        <v>587</v>
      </c>
      <c r="E449" s="16" t="s">
        <v>18</v>
      </c>
      <c r="F449" s="16" t="s">
        <v>20</v>
      </c>
      <c r="G449" s="7" t="n">
        <v>5</v>
      </c>
      <c r="H449" s="6" t="n">
        <v>113.3</v>
      </c>
      <c r="I449" s="6" t="n">
        <v>-566.5</v>
      </c>
      <c r="J449" s="6" t="n">
        <v>0</v>
      </c>
      <c r="K449" s="6" t="n">
        <v>-0.45</v>
      </c>
      <c r="L449" s="6" t="n">
        <v>0</v>
      </c>
      <c r="M449" s="6" t="s">
        <f>=I449+J449+K449+L449</f>
      </c>
      <c r="N449" s="6"/>
      <c r="O449" s="16"/>
    </row>
    <row collapsed="false" customFormat="false" customHeight="false" hidden="false" ht="12.1" outlineLevel="0" r="450">
      <c r="A450" s="20" t="n">
        <v>45532.702592593</v>
      </c>
      <c r="B450" s="16" t="s">
        <v>72</v>
      </c>
      <c r="C450" s="16" t="s">
        <v>822</v>
      </c>
      <c r="D450" s="16" t="s">
        <v>587</v>
      </c>
      <c r="E450" s="16" t="s">
        <v>18</v>
      </c>
      <c r="F450" s="16" t="s">
        <v>20</v>
      </c>
      <c r="G450" s="7" t="n">
        <v>10</v>
      </c>
      <c r="H450" s="6" t="n">
        <v>113.62</v>
      </c>
      <c r="I450" s="6" t="n">
        <v>-1136.2</v>
      </c>
      <c r="J450" s="6" t="n">
        <v>0</v>
      </c>
      <c r="K450" s="6" t="n">
        <v>-0.91</v>
      </c>
      <c r="L450" s="6" t="n">
        <v>0</v>
      </c>
      <c r="M450" s="6" t="s">
        <f>=I450+J450+K450+L450</f>
      </c>
      <c r="N450" s="6"/>
      <c r="O450" s="16"/>
    </row>
    <row collapsed="false" customFormat="false" customHeight="false" hidden="false" ht="12.1" outlineLevel="0" r="451">
      <c r="A451" s="21" t="n">
        <v>45537</v>
      </c>
      <c r="B451" s="22" t="s">
        <v>710</v>
      </c>
      <c r="C451" s="22" t="s">
        <v>255</v>
      </c>
      <c r="D451" s="22" t="s">
        <v>710</v>
      </c>
      <c r="E451" s="22" t="s">
        <v>710</v>
      </c>
      <c r="F451" s="22" t="s">
        <v>20</v>
      </c>
      <c r="G451" s="23" t="n">
        <v>4</v>
      </c>
      <c r="H451" s="24" t="n">
        <v>2855.2975</v>
      </c>
      <c r="I451" s="24" t="n">
        <v>11421.19</v>
      </c>
      <c r="J451" s="24" t="n">
        <v>0</v>
      </c>
      <c r="K451" s="24" t="n">
        <v>0</v>
      </c>
      <c r="L451" s="24" t="n">
        <v>0</v>
      </c>
      <c r="M451" s="6" t="s">
        <f>=I451+J451+K451+L451</f>
      </c>
      <c r="N451" s="24"/>
      <c r="O451" s="22"/>
    </row>
    <row collapsed="false" customFormat="false" customHeight="false" hidden="false" ht="12.1" outlineLevel="0" r="452">
      <c r="A452" s="21" t="n">
        <v>45537</v>
      </c>
      <c r="B452" s="22" t="s">
        <v>785</v>
      </c>
      <c r="C452" s="22" t="s">
        <v>823</v>
      </c>
      <c r="D452" s="22" t="s">
        <v>785</v>
      </c>
      <c r="E452" s="22" t="s">
        <v>785</v>
      </c>
      <c r="F452" s="22" t="s">
        <v>20</v>
      </c>
      <c r="G452" s="23" t="n">
        <v>2</v>
      </c>
      <c r="H452" s="24" t="n">
        <v>418.69</v>
      </c>
      <c r="I452" s="24" t="n">
        <v>837.38</v>
      </c>
      <c r="J452" s="24" t="n">
        <v>0</v>
      </c>
      <c r="K452" s="24" t="n">
        <v>0</v>
      </c>
      <c r="L452" s="24" t="n">
        <v>0</v>
      </c>
      <c r="M452" s="6" t="s">
        <f>=I452+J452+K452+L452</f>
      </c>
      <c r="N452" s="24"/>
      <c r="O452" s="22"/>
    </row>
    <row collapsed="false" customFormat="false" customHeight="false" hidden="false" ht="12.1" outlineLevel="0" r="453">
      <c r="A453" s="20" t="n">
        <v>45537.460775463</v>
      </c>
      <c r="B453" s="16" t="s">
        <v>49</v>
      </c>
      <c r="C453" s="16" t="s">
        <v>739</v>
      </c>
      <c r="D453" s="16" t="s">
        <v>587</v>
      </c>
      <c r="E453" s="16" t="s">
        <v>18</v>
      </c>
      <c r="F453" s="16" t="s">
        <v>20</v>
      </c>
      <c r="G453" s="7" t="n">
        <v>5</v>
      </c>
      <c r="H453" s="6" t="n">
        <v>640.35</v>
      </c>
      <c r="I453" s="6" t="n">
        <v>-3201.75</v>
      </c>
      <c r="J453" s="6" t="n">
        <v>0</v>
      </c>
      <c r="K453" s="6" t="n">
        <v>-2.56</v>
      </c>
      <c r="L453" s="6" t="n">
        <v>0</v>
      </c>
      <c r="M453" s="6" t="s">
        <f>=I453+J453+K453+L453</f>
      </c>
      <c r="N453" s="6"/>
      <c r="O453" s="16"/>
    </row>
    <row collapsed="false" customFormat="false" customHeight="false" hidden="false" ht="12.1" outlineLevel="0" r="454">
      <c r="A454" s="20" t="n">
        <v>45537.461354167</v>
      </c>
      <c r="B454" s="16" t="s">
        <v>43</v>
      </c>
      <c r="C454" s="16" t="s">
        <v>808</v>
      </c>
      <c r="D454" s="16" t="s">
        <v>587</v>
      </c>
      <c r="E454" s="16" t="s">
        <v>18</v>
      </c>
      <c r="F454" s="16" t="s">
        <v>20</v>
      </c>
      <c r="G454" s="7" t="n">
        <v>1</v>
      </c>
      <c r="H454" s="6" t="n">
        <v>4664</v>
      </c>
      <c r="I454" s="6" t="n">
        <v>-4664</v>
      </c>
      <c r="J454" s="6" t="n">
        <v>0</v>
      </c>
      <c r="K454" s="6" t="n">
        <v>-3.72</v>
      </c>
      <c r="L454" s="6" t="n">
        <v>0</v>
      </c>
      <c r="M454" s="6" t="s">
        <f>=I454+J454+K454+L454</f>
      </c>
      <c r="N454" s="6"/>
      <c r="O454" s="16"/>
    </row>
    <row collapsed="false" customFormat="false" customHeight="false" hidden="false" ht="12.1" outlineLevel="0" r="455">
      <c r="A455" s="25" t="n">
        <v>45537.462118056</v>
      </c>
      <c r="B455" s="26" t="s">
        <v>128</v>
      </c>
      <c r="C455" s="26" t="s">
        <v>721</v>
      </c>
      <c r="D455" s="26" t="s">
        <v>588</v>
      </c>
      <c r="E455" s="26" t="s">
        <v>122</v>
      </c>
      <c r="F455" s="26" t="s">
        <v>20</v>
      </c>
      <c r="G455" s="27" t="n">
        <v>-20</v>
      </c>
      <c r="H455" s="28" t="n">
        <v>1.467</v>
      </c>
      <c r="I455" s="28" t="n">
        <v>29.34</v>
      </c>
      <c r="J455" s="28" t="n">
        <v>0</v>
      </c>
      <c r="K455" s="28" t="n">
        <v>0</v>
      </c>
      <c r="L455" s="28" t="n">
        <v>0</v>
      </c>
      <c r="M455" s="6" t="s">
        <f>=I455+J455+K455+L455</f>
      </c>
      <c r="N455" s="28"/>
      <c r="O455" s="26"/>
    </row>
    <row collapsed="false" customFormat="false" customHeight="false" hidden="false" ht="12.1" outlineLevel="0" r="456">
      <c r="A456" s="20" t="n">
        <v>45537.46369213</v>
      </c>
      <c r="B456" s="16" t="s">
        <v>614</v>
      </c>
      <c r="C456" s="16" t="s">
        <v>824</v>
      </c>
      <c r="D456" s="16" t="s">
        <v>587</v>
      </c>
      <c r="E456" s="16" t="s">
        <v>18</v>
      </c>
      <c r="F456" s="16" t="s">
        <v>20</v>
      </c>
      <c r="G456" s="7" t="n">
        <v>5</v>
      </c>
      <c r="H456" s="6" t="n">
        <v>327.35</v>
      </c>
      <c r="I456" s="6" t="n">
        <v>-1636.75</v>
      </c>
      <c r="J456" s="6" t="n">
        <v>0</v>
      </c>
      <c r="K456" s="6" t="n">
        <v>-1.31</v>
      </c>
      <c r="L456" s="6" t="n">
        <v>0</v>
      </c>
      <c r="M456" s="6" t="s">
        <f>=I456+J456+K456+L456</f>
      </c>
      <c r="N456" s="6"/>
      <c r="O456" s="16"/>
    </row>
    <row collapsed="false" customFormat="false" customHeight="false" hidden="false" ht="12.1" outlineLevel="0" r="457">
      <c r="A457" s="20" t="n">
        <v>45537.464803241</v>
      </c>
      <c r="B457" s="16" t="s">
        <v>57</v>
      </c>
      <c r="C457" s="16" t="s">
        <v>58</v>
      </c>
      <c r="D457" s="16" t="s">
        <v>587</v>
      </c>
      <c r="E457" s="16" t="s">
        <v>18</v>
      </c>
      <c r="F457" s="16" t="s">
        <v>20</v>
      </c>
      <c r="G457" s="7" t="n">
        <v>3000</v>
      </c>
      <c r="H457" s="6" t="n">
        <v>0.5959</v>
      </c>
      <c r="I457" s="6" t="n">
        <v>-1787.7</v>
      </c>
      <c r="J457" s="6" t="n">
        <v>0</v>
      </c>
      <c r="K457" s="6" t="n">
        <v>-1.43</v>
      </c>
      <c r="L457" s="6" t="n">
        <v>0</v>
      </c>
      <c r="M457" s="6" t="s">
        <f>=I457+J457+K457+L457</f>
      </c>
      <c r="N457" s="6"/>
      <c r="O457" s="16"/>
    </row>
    <row collapsed="false" customFormat="false" customHeight="false" hidden="false" ht="12.1" outlineLevel="0" r="458">
      <c r="A458" s="20" t="n">
        <v>45537.566643519</v>
      </c>
      <c r="B458" s="16" t="s">
        <v>90</v>
      </c>
      <c r="C458" s="16" t="s">
        <v>718</v>
      </c>
      <c r="D458" s="16" t="s">
        <v>587</v>
      </c>
      <c r="E458" s="16" t="s">
        <v>18</v>
      </c>
      <c r="F458" s="16" t="s">
        <v>20</v>
      </c>
      <c r="G458" s="7" t="n">
        <v>100</v>
      </c>
      <c r="H458" s="6" t="n">
        <v>3.624</v>
      </c>
      <c r="I458" s="6" t="n">
        <v>-362.4</v>
      </c>
      <c r="J458" s="6" t="n">
        <v>0</v>
      </c>
      <c r="K458" s="6" t="n">
        <v>-0.29</v>
      </c>
      <c r="L458" s="6" t="n">
        <v>0</v>
      </c>
      <c r="M458" s="6" t="s">
        <f>=I458+J458+K458+L458</f>
      </c>
      <c r="N458" s="6"/>
      <c r="O458" s="16"/>
    </row>
    <row collapsed="false" customFormat="false" customHeight="false" hidden="false" ht="12.1" outlineLevel="0" r="459">
      <c r="A459" s="20" t="n">
        <v>45537.567395833</v>
      </c>
      <c r="B459" s="16" t="s">
        <v>121</v>
      </c>
      <c r="C459" s="16" t="s">
        <v>774</v>
      </c>
      <c r="D459" s="16" t="s">
        <v>587</v>
      </c>
      <c r="E459" s="16" t="s">
        <v>122</v>
      </c>
      <c r="F459" s="16" t="s">
        <v>20</v>
      </c>
      <c r="G459" s="7" t="n">
        <v>1</v>
      </c>
      <c r="H459" s="6" t="n">
        <v>143.16</v>
      </c>
      <c r="I459" s="6" t="n">
        <v>-143.16</v>
      </c>
      <c r="J459" s="6" t="n">
        <v>0</v>
      </c>
      <c r="K459" s="6" t="n">
        <v>-0.04</v>
      </c>
      <c r="L459" s="6" t="n">
        <v>0</v>
      </c>
      <c r="M459" s="6" t="s">
        <f>=I459+J459+K459+L459</f>
      </c>
      <c r="N459" s="6"/>
      <c r="O459" s="16"/>
    </row>
    <row collapsed="false" customFormat="false" customHeight="false" hidden="false" ht="12.1" outlineLevel="0" r="460">
      <c r="A460" s="20" t="n">
        <v>45537.713622685</v>
      </c>
      <c r="B460" s="16" t="s">
        <v>124</v>
      </c>
      <c r="C460" s="16" t="s">
        <v>719</v>
      </c>
      <c r="D460" s="16" t="s">
        <v>587</v>
      </c>
      <c r="E460" s="16" t="s">
        <v>122</v>
      </c>
      <c r="F460" s="16" t="s">
        <v>20</v>
      </c>
      <c r="G460" s="7" t="n">
        <v>4</v>
      </c>
      <c r="H460" s="6" t="n">
        <v>121.85</v>
      </c>
      <c r="I460" s="6" t="n">
        <v>-487.4</v>
      </c>
      <c r="J460" s="6" t="n">
        <v>0</v>
      </c>
      <c r="K460" s="6" t="n">
        <v>-0.15</v>
      </c>
      <c r="L460" s="6" t="n">
        <v>0</v>
      </c>
      <c r="M460" s="6" t="s">
        <f>=I460+J460+K460+L460</f>
      </c>
      <c r="N460" s="6"/>
      <c r="O460" s="16"/>
    </row>
    <row collapsed="false" customFormat="false" customHeight="false" hidden="false" ht="12.1" outlineLevel="0" r="461">
      <c r="A461" s="21" t="n">
        <v>45544</v>
      </c>
      <c r="B461" s="22" t="s">
        <v>710</v>
      </c>
      <c r="C461" s="22" t="s">
        <v>255</v>
      </c>
      <c r="D461" s="22" t="s">
        <v>710</v>
      </c>
      <c r="E461" s="22" t="s">
        <v>710</v>
      </c>
      <c r="F461" s="22" t="s">
        <v>20</v>
      </c>
      <c r="G461" s="23" t="n">
        <v>2</v>
      </c>
      <c r="H461" s="24" t="n">
        <v>1675.3</v>
      </c>
      <c r="I461" s="24" t="n">
        <v>3350.6</v>
      </c>
      <c r="J461" s="24" t="n">
        <v>0</v>
      </c>
      <c r="K461" s="24" t="n">
        <v>0</v>
      </c>
      <c r="L461" s="24" t="n">
        <v>0</v>
      </c>
      <c r="M461" s="6" t="s">
        <f>=I461+J461+K461+L461</f>
      </c>
      <c r="N461" s="24"/>
      <c r="O461" s="22"/>
    </row>
    <row collapsed="false" customFormat="false" customHeight="false" hidden="false" ht="12.1" outlineLevel="0" r="462">
      <c r="A462" s="20" t="n">
        <v>45544.556736111</v>
      </c>
      <c r="B462" s="16" t="s">
        <v>49</v>
      </c>
      <c r="C462" s="16" t="s">
        <v>739</v>
      </c>
      <c r="D462" s="16" t="s">
        <v>587</v>
      </c>
      <c r="E462" s="16" t="s">
        <v>18</v>
      </c>
      <c r="F462" s="16" t="s">
        <v>20</v>
      </c>
      <c r="G462" s="7" t="n">
        <v>5</v>
      </c>
      <c r="H462" s="6" t="n">
        <v>668.3</v>
      </c>
      <c r="I462" s="6" t="n">
        <v>-3341.5</v>
      </c>
      <c r="J462" s="6" t="n">
        <v>0</v>
      </c>
      <c r="K462" s="6" t="n">
        <v>-2.68</v>
      </c>
      <c r="L462" s="6" t="n">
        <v>0</v>
      </c>
      <c r="M462" s="6" t="s">
        <f>=I462+J462+K462+L462</f>
      </c>
      <c r="N462" s="6"/>
      <c r="O462" s="16"/>
    </row>
    <row collapsed="false" customFormat="false" customHeight="false" hidden="false" ht="12.1" outlineLevel="0" r="463">
      <c r="A463" s="21" t="n">
        <v>45546</v>
      </c>
      <c r="B463" s="22" t="s">
        <v>785</v>
      </c>
      <c r="C463" s="22" t="s">
        <v>825</v>
      </c>
      <c r="D463" s="22" t="s">
        <v>785</v>
      </c>
      <c r="E463" s="22" t="s">
        <v>785</v>
      </c>
      <c r="F463" s="22" t="s">
        <v>20</v>
      </c>
      <c r="G463" s="23" t="n">
        <v>1</v>
      </c>
      <c r="H463" s="24" t="n">
        <v>15.86</v>
      </c>
      <c r="I463" s="24" t="n">
        <v>15.86</v>
      </c>
      <c r="J463" s="24" t="n">
        <v>0</v>
      </c>
      <c r="K463" s="24" t="n">
        <v>0</v>
      </c>
      <c r="L463" s="24" t="n">
        <v>0</v>
      </c>
      <c r="M463" s="6" t="s">
        <f>=I463+J463+K463+L463</f>
      </c>
      <c r="N463" s="24"/>
      <c r="O463" s="22"/>
    </row>
    <row collapsed="false" customFormat="false" customHeight="false" hidden="false" ht="12.1" outlineLevel="0" r="464">
      <c r="A464" s="21" t="n">
        <v>45547</v>
      </c>
      <c r="B464" s="22" t="s">
        <v>785</v>
      </c>
      <c r="C464" s="22" t="s">
        <v>826</v>
      </c>
      <c r="D464" s="22" t="s">
        <v>785</v>
      </c>
      <c r="E464" s="22" t="s">
        <v>785</v>
      </c>
      <c r="F464" s="22" t="s">
        <v>20</v>
      </c>
      <c r="G464" s="23" t="n">
        <v>1</v>
      </c>
      <c r="H464" s="24" t="n">
        <v>3000</v>
      </c>
      <c r="I464" s="24" t="n">
        <v>3000</v>
      </c>
      <c r="J464" s="24" t="n">
        <v>0</v>
      </c>
      <c r="K464" s="24" t="n">
        <v>0</v>
      </c>
      <c r="L464" s="24" t="n">
        <v>0</v>
      </c>
      <c r="M464" s="6" t="s">
        <f>=I464+J464+K464+L464</f>
      </c>
      <c r="N464" s="24"/>
      <c r="O464" s="22"/>
    </row>
    <row collapsed="false" customFormat="false" customHeight="false" hidden="false" ht="12.1" outlineLevel="0" r="465">
      <c r="A465" s="20" t="n">
        <v>45547.684918981</v>
      </c>
      <c r="B465" s="16" t="s">
        <v>121</v>
      </c>
      <c r="C465" s="16" t="s">
        <v>774</v>
      </c>
      <c r="D465" s="16" t="s">
        <v>587</v>
      </c>
      <c r="E465" s="16" t="s">
        <v>122</v>
      </c>
      <c r="F465" s="16" t="s">
        <v>20</v>
      </c>
      <c r="G465" s="7" t="n">
        <v>21</v>
      </c>
      <c r="H465" s="6" t="n">
        <v>143.8</v>
      </c>
      <c r="I465" s="6" t="n">
        <v>-3019.8</v>
      </c>
      <c r="J465" s="6" t="n">
        <v>0</v>
      </c>
      <c r="K465" s="6" t="n">
        <v>-0.91</v>
      </c>
      <c r="L465" s="6" t="n">
        <v>0</v>
      </c>
      <c r="M465" s="6" t="s">
        <f>=I465+J465+K465+L465</f>
      </c>
      <c r="N465" s="6"/>
      <c r="O465" s="16"/>
    </row>
    <row collapsed="false" customFormat="false" customHeight="false" hidden="false" ht="12.1" outlineLevel="0" r="466">
      <c r="A466" s="21" t="n">
        <v>45551</v>
      </c>
      <c r="B466" s="22" t="s">
        <v>710</v>
      </c>
      <c r="C466" s="22" t="s">
        <v>255</v>
      </c>
      <c r="D466" s="22" t="s">
        <v>710</v>
      </c>
      <c r="E466" s="22" t="s">
        <v>710</v>
      </c>
      <c r="F466" s="22" t="s">
        <v>20</v>
      </c>
      <c r="G466" s="23" t="n">
        <v>2</v>
      </c>
      <c r="H466" s="24" t="n">
        <v>75167.96</v>
      </c>
      <c r="I466" s="24" t="n">
        <v>150335.92</v>
      </c>
      <c r="J466" s="24" t="n">
        <v>0</v>
      </c>
      <c r="K466" s="24" t="n">
        <v>0</v>
      </c>
      <c r="L466" s="24" t="n">
        <v>0</v>
      </c>
      <c r="M466" s="6" t="s">
        <f>=I466+J466+K466+L466</f>
      </c>
      <c r="N466" s="24"/>
      <c r="O466" s="22"/>
    </row>
    <row collapsed="false" customFormat="false" customHeight="false" hidden="false" ht="12.1" outlineLevel="0" r="467">
      <c r="A467" s="20" t="n">
        <v>45551.465914352</v>
      </c>
      <c r="B467" s="16" t="s">
        <v>598</v>
      </c>
      <c r="C467" s="16" t="s">
        <v>738</v>
      </c>
      <c r="D467" s="16" t="s">
        <v>587</v>
      </c>
      <c r="E467" s="16" t="s">
        <v>18</v>
      </c>
      <c r="F467" s="16" t="s">
        <v>20</v>
      </c>
      <c r="G467" s="7" t="n">
        <v>3</v>
      </c>
      <c r="H467" s="6" t="n">
        <v>108.7</v>
      </c>
      <c r="I467" s="6" t="n">
        <v>-326.1</v>
      </c>
      <c r="J467" s="6" t="n">
        <v>0</v>
      </c>
      <c r="K467" s="6" t="n">
        <v>-0.16</v>
      </c>
      <c r="L467" s="6" t="n">
        <v>0</v>
      </c>
      <c r="M467" s="6" t="s">
        <f>=I467+J467+K467+L467</f>
      </c>
      <c r="N467" s="6"/>
      <c r="O467" s="16"/>
    </row>
    <row collapsed="false" customFormat="false" customHeight="false" hidden="false" ht="12.1" outlineLevel="0" r="468">
      <c r="A468" s="20" t="n">
        <v>45551.548425926</v>
      </c>
      <c r="B468" s="16" t="s">
        <v>159</v>
      </c>
      <c r="C468" s="16" t="s">
        <v>827</v>
      </c>
      <c r="D468" s="16" t="s">
        <v>587</v>
      </c>
      <c r="E468" s="16" t="s">
        <v>135</v>
      </c>
      <c r="F468" s="16" t="s">
        <v>20</v>
      </c>
      <c r="G468" s="7" t="n">
        <v>20</v>
      </c>
      <c r="H468" s="6" t="n">
        <v>71.3</v>
      </c>
      <c r="I468" s="6" t="n">
        <v>-14260</v>
      </c>
      <c r="J468" s="6" t="n">
        <v>-577.8</v>
      </c>
      <c r="K468" s="6" t="n">
        <v>-8.35</v>
      </c>
      <c r="L468" s="6" t="n">
        <v>0</v>
      </c>
      <c r="M468" s="6" t="s">
        <f>=I468+J468+K468+L468</f>
      </c>
      <c r="N468" s="6"/>
      <c r="O468" s="16"/>
    </row>
    <row collapsed="false" customFormat="false" customHeight="false" hidden="false" ht="12.1" outlineLevel="0" r="469">
      <c r="A469" s="20" t="n">
        <v>45551.549166667</v>
      </c>
      <c r="B469" s="16" t="s">
        <v>150</v>
      </c>
      <c r="C469" s="16" t="s">
        <v>791</v>
      </c>
      <c r="D469" s="16" t="s">
        <v>587</v>
      </c>
      <c r="E469" s="16" t="s">
        <v>135</v>
      </c>
      <c r="F469" s="16" t="s">
        <v>20</v>
      </c>
      <c r="G469" s="7" t="n">
        <v>20</v>
      </c>
      <c r="H469" s="6" t="n">
        <v>63.187</v>
      </c>
      <c r="I469" s="6" t="n">
        <v>-12637.4</v>
      </c>
      <c r="J469" s="6" t="n">
        <v>-704.6</v>
      </c>
      <c r="K469" s="6" t="n">
        <v>-7.4</v>
      </c>
      <c r="L469" s="6" t="n">
        <v>0</v>
      </c>
      <c r="M469" s="6" t="s">
        <f>=I469+J469+K469+L469</f>
      </c>
      <c r="N469" s="6"/>
      <c r="O469" s="16"/>
    </row>
    <row collapsed="false" customFormat="false" customHeight="false" hidden="false" ht="12.1" outlineLevel="0" r="470">
      <c r="A470" s="20" t="n">
        <v>45551.549930556</v>
      </c>
      <c r="B470" s="16" t="s">
        <v>153</v>
      </c>
      <c r="C470" s="16" t="s">
        <v>828</v>
      </c>
      <c r="D470" s="16" t="s">
        <v>587</v>
      </c>
      <c r="E470" s="16" t="s">
        <v>135</v>
      </c>
      <c r="F470" s="16" t="s">
        <v>20</v>
      </c>
      <c r="G470" s="7" t="n">
        <v>20</v>
      </c>
      <c r="H470" s="6" t="n">
        <v>81.2</v>
      </c>
      <c r="I470" s="6" t="n">
        <v>-16240</v>
      </c>
      <c r="J470" s="6" t="n">
        <v>-822</v>
      </c>
      <c r="K470" s="6" t="n">
        <v>-9.5</v>
      </c>
      <c r="L470" s="6" t="n">
        <v>0</v>
      </c>
      <c r="M470" s="6" t="s">
        <f>=I470+J470+K470+L470</f>
      </c>
      <c r="N470" s="6"/>
      <c r="O470" s="16"/>
    </row>
    <row collapsed="false" customFormat="false" customHeight="false" hidden="false" ht="12.1" outlineLevel="0" r="471">
      <c r="A471" s="20" t="n">
        <v>45551.550729167</v>
      </c>
      <c r="B471" s="16" t="s">
        <v>168</v>
      </c>
      <c r="C471" s="16" t="s">
        <v>829</v>
      </c>
      <c r="D471" s="16" t="s">
        <v>587</v>
      </c>
      <c r="E471" s="16" t="s">
        <v>135</v>
      </c>
      <c r="F471" s="16" t="s">
        <v>20</v>
      </c>
      <c r="G471" s="7" t="n">
        <v>20</v>
      </c>
      <c r="H471" s="6" t="n">
        <v>81</v>
      </c>
      <c r="I471" s="6" t="n">
        <v>-16200</v>
      </c>
      <c r="J471" s="6" t="n">
        <v>-839</v>
      </c>
      <c r="K471" s="6" t="n">
        <v>-9.48</v>
      </c>
      <c r="L471" s="6" t="n">
        <v>0</v>
      </c>
      <c r="M471" s="6" t="s">
        <f>=I471+J471+K471+L471</f>
      </c>
      <c r="N471" s="6"/>
      <c r="O471" s="16"/>
    </row>
    <row collapsed="false" customFormat="false" customHeight="false" hidden="false" ht="12.1" outlineLevel="0" r="472">
      <c r="A472" s="20" t="n">
        <v>45551.5515625</v>
      </c>
      <c r="B472" s="16" t="s">
        <v>165</v>
      </c>
      <c r="C472" s="16" t="s">
        <v>830</v>
      </c>
      <c r="D472" s="16" t="s">
        <v>587</v>
      </c>
      <c r="E472" s="16" t="s">
        <v>135</v>
      </c>
      <c r="F472" s="16" t="s">
        <v>20</v>
      </c>
      <c r="G472" s="7" t="n">
        <v>20</v>
      </c>
      <c r="H472" s="6" t="n">
        <v>80.7</v>
      </c>
      <c r="I472" s="6" t="n">
        <v>-16140</v>
      </c>
      <c r="J472" s="6" t="n">
        <v>-839</v>
      </c>
      <c r="K472" s="6" t="n">
        <v>-9.44</v>
      </c>
      <c r="L472" s="6" t="n">
        <v>0</v>
      </c>
      <c r="M472" s="6" t="s">
        <f>=I472+J472+K472+L472</f>
      </c>
      <c r="N472" s="6"/>
      <c r="O472" s="16"/>
    </row>
    <row collapsed="false" customFormat="false" customHeight="false" hidden="false" ht="12.1" outlineLevel="0" r="473">
      <c r="A473" s="20" t="n">
        <v>45551.552384259</v>
      </c>
      <c r="B473" s="16" t="s">
        <v>144</v>
      </c>
      <c r="C473" s="16" t="s">
        <v>788</v>
      </c>
      <c r="D473" s="16" t="s">
        <v>587</v>
      </c>
      <c r="E473" s="16" t="s">
        <v>135</v>
      </c>
      <c r="F473" s="16" t="s">
        <v>20</v>
      </c>
      <c r="G473" s="7" t="n">
        <v>20</v>
      </c>
      <c r="H473" s="6" t="n">
        <v>79.098</v>
      </c>
      <c r="I473" s="6" t="n">
        <v>-15819.6</v>
      </c>
      <c r="J473" s="6" t="n">
        <v>-1072.6</v>
      </c>
      <c r="K473" s="6" t="n">
        <v>-9.26</v>
      </c>
      <c r="L473" s="6" t="n">
        <v>0</v>
      </c>
      <c r="M473" s="6" t="s">
        <f>=I473+J473+K473+L473</f>
      </c>
      <c r="N473" s="6"/>
      <c r="O473" s="16"/>
    </row>
    <row collapsed="false" customFormat="false" customHeight="false" hidden="false" ht="12.1" outlineLevel="0" r="474">
      <c r="A474" s="20" t="n">
        <v>45551.553368056</v>
      </c>
      <c r="B474" s="16" t="s">
        <v>121</v>
      </c>
      <c r="C474" s="16" t="s">
        <v>774</v>
      </c>
      <c r="D474" s="16" t="s">
        <v>587</v>
      </c>
      <c r="E474" s="16" t="s">
        <v>122</v>
      </c>
      <c r="F474" s="16" t="s">
        <v>20</v>
      </c>
      <c r="G474" s="7" t="n">
        <v>106</v>
      </c>
      <c r="H474" s="6" t="n">
        <v>143.69433962264</v>
      </c>
      <c r="I474" s="6" t="n">
        <v>-15231.6</v>
      </c>
      <c r="J474" s="6" t="n">
        <v>0</v>
      </c>
      <c r="K474" s="6" t="n">
        <v>-4.57</v>
      </c>
      <c r="L474" s="6" t="n">
        <v>0</v>
      </c>
      <c r="M474" s="6" t="s">
        <f>=I474+J474+K474+L474</f>
      </c>
      <c r="N474" s="6"/>
      <c r="O474" s="16"/>
    </row>
    <row collapsed="false" customFormat="false" customHeight="false" hidden="false" ht="12.1" outlineLevel="0" r="475">
      <c r="A475" s="20" t="n">
        <v>45551.554861111</v>
      </c>
      <c r="B475" s="16" t="s">
        <v>128</v>
      </c>
      <c r="C475" s="16" t="s">
        <v>721</v>
      </c>
      <c r="D475" s="16" t="s">
        <v>587</v>
      </c>
      <c r="E475" s="16" t="s">
        <v>122</v>
      </c>
      <c r="F475" s="16" t="s">
        <v>20</v>
      </c>
      <c r="G475" s="7" t="n">
        <v>26000</v>
      </c>
      <c r="H475" s="6" t="n">
        <v>1.4776</v>
      </c>
      <c r="I475" s="6" t="n">
        <v>-38417.6</v>
      </c>
      <c r="J475" s="6" t="n">
        <v>0</v>
      </c>
      <c r="K475" s="6" t="n">
        <v>0</v>
      </c>
      <c r="L475" s="6" t="n">
        <v>0</v>
      </c>
      <c r="M475" s="6" t="s">
        <f>=I475+J475+K475+L475</f>
      </c>
      <c r="N475" s="6"/>
      <c r="O475" s="16"/>
    </row>
    <row collapsed="false" customFormat="false" customHeight="false" hidden="false" ht="12.1" outlineLevel="0" r="476">
      <c r="A476" s="21" t="n">
        <v>45553</v>
      </c>
      <c r="B476" s="22" t="s">
        <v>710</v>
      </c>
      <c r="C476" s="22" t="s">
        <v>255</v>
      </c>
      <c r="D476" s="22" t="s">
        <v>710</v>
      </c>
      <c r="E476" s="22" t="s">
        <v>710</v>
      </c>
      <c r="F476" s="22" t="s">
        <v>20</v>
      </c>
      <c r="G476" s="23" t="n">
        <v>1</v>
      </c>
      <c r="H476" s="24" t="n">
        <v>1525.54</v>
      </c>
      <c r="I476" s="24" t="n">
        <v>1525.54</v>
      </c>
      <c r="J476" s="24" t="n">
        <v>0</v>
      </c>
      <c r="K476" s="24" t="n">
        <v>0</v>
      </c>
      <c r="L476" s="24" t="n">
        <v>0</v>
      </c>
      <c r="M476" s="6" t="s">
        <f>=I476+J476+K476+L476</f>
      </c>
      <c r="N476" s="24"/>
      <c r="O476" s="22"/>
    </row>
    <row collapsed="false" customFormat="false" customHeight="false" hidden="false" ht="12.1" outlineLevel="0" r="477">
      <c r="A477" s="20" t="n">
        <v>45553.494733796</v>
      </c>
      <c r="B477" s="16" t="s">
        <v>121</v>
      </c>
      <c r="C477" s="16" t="s">
        <v>774</v>
      </c>
      <c r="D477" s="16" t="s">
        <v>587</v>
      </c>
      <c r="E477" s="16" t="s">
        <v>122</v>
      </c>
      <c r="F477" s="16" t="s">
        <v>20</v>
      </c>
      <c r="G477" s="7" t="n">
        <v>11</v>
      </c>
      <c r="H477" s="6" t="n">
        <v>143.46181818182</v>
      </c>
      <c r="I477" s="6" t="n">
        <v>-1578.08</v>
      </c>
      <c r="J477" s="6" t="n">
        <v>0</v>
      </c>
      <c r="K477" s="6" t="n">
        <v>-0.47</v>
      </c>
      <c r="L477" s="6" t="n">
        <v>0</v>
      </c>
      <c r="M477" s="6" t="s">
        <f>=I477+J477+K477+L477</f>
      </c>
      <c r="N477" s="6"/>
      <c r="O477" s="16"/>
    </row>
    <row collapsed="false" customFormat="false" customHeight="false" hidden="false" ht="12.1" outlineLevel="0" r="478">
      <c r="A478" s="21" t="n">
        <v>45559</v>
      </c>
      <c r="B478" s="22" t="s">
        <v>710</v>
      </c>
      <c r="C478" s="22" t="s">
        <v>255</v>
      </c>
      <c r="D478" s="22" t="s">
        <v>710</v>
      </c>
      <c r="E478" s="22" t="s">
        <v>710</v>
      </c>
      <c r="F478" s="22" t="s">
        <v>20</v>
      </c>
      <c r="G478" s="23" t="n">
        <v>1</v>
      </c>
      <c r="H478" s="24" t="n">
        <v>11007.06</v>
      </c>
      <c r="I478" s="24" t="n">
        <v>11007.06</v>
      </c>
      <c r="J478" s="24" t="n">
        <v>0</v>
      </c>
      <c r="K478" s="24" t="n">
        <v>0</v>
      </c>
      <c r="L478" s="24" t="n">
        <v>0</v>
      </c>
      <c r="M478" s="6" t="s">
        <f>=I478+J478+K478+L478</f>
      </c>
      <c r="N478" s="24"/>
      <c r="O478" s="22"/>
    </row>
    <row collapsed="false" customFormat="false" customHeight="false" hidden="false" ht="12.1" outlineLevel="0" r="479">
      <c r="A479" s="20" t="n">
        <v>45559.567060185</v>
      </c>
      <c r="B479" s="16" t="s">
        <v>128</v>
      </c>
      <c r="C479" s="16" t="s">
        <v>721</v>
      </c>
      <c r="D479" s="16" t="s">
        <v>587</v>
      </c>
      <c r="E479" s="16" t="s">
        <v>122</v>
      </c>
      <c r="F479" s="16" t="s">
        <v>20</v>
      </c>
      <c r="G479" s="7" t="n">
        <v>7450</v>
      </c>
      <c r="H479" s="6" t="n">
        <v>1.4834</v>
      </c>
      <c r="I479" s="6" t="n">
        <v>-11051.33</v>
      </c>
      <c r="J479" s="6" t="n">
        <v>0</v>
      </c>
      <c r="K479" s="6" t="n">
        <v>0</v>
      </c>
      <c r="L479" s="6" t="n">
        <v>0</v>
      </c>
      <c r="M479" s="6" t="s">
        <f>=I479+J479+K479+L479</f>
      </c>
      <c r="N479" s="6"/>
      <c r="O479" s="16"/>
    </row>
    <row collapsed="false" customFormat="false" customHeight="false" hidden="false" ht="12.1" outlineLevel="0" r="480">
      <c r="A480" s="21" t="n">
        <v>45560</v>
      </c>
      <c r="B480" s="22" t="s">
        <v>710</v>
      </c>
      <c r="C480" s="22" t="s">
        <v>255</v>
      </c>
      <c r="D480" s="22" t="s">
        <v>710</v>
      </c>
      <c r="E480" s="22" t="s">
        <v>710</v>
      </c>
      <c r="F480" s="22" t="s">
        <v>20</v>
      </c>
      <c r="G480" s="23" t="n">
        <v>3</v>
      </c>
      <c r="H480" s="24" t="n">
        <v>1064.02</v>
      </c>
      <c r="I480" s="24" t="n">
        <v>3192.06</v>
      </c>
      <c r="J480" s="24" t="n">
        <v>0</v>
      </c>
      <c r="K480" s="24" t="n">
        <v>0</v>
      </c>
      <c r="L480" s="24" t="n">
        <v>0</v>
      </c>
      <c r="M480" s="6" t="s">
        <f>=I480+J480+K480+L480</f>
      </c>
      <c r="N480" s="24"/>
      <c r="O480" s="22"/>
    </row>
    <row collapsed="false" customFormat="false" customHeight="false" hidden="false" ht="12.1" outlineLevel="0" r="481">
      <c r="A481" s="21" t="n">
        <v>45560</v>
      </c>
      <c r="B481" s="22" t="s">
        <v>785</v>
      </c>
      <c r="C481" s="22" t="s">
        <v>831</v>
      </c>
      <c r="D481" s="22" t="s">
        <v>785</v>
      </c>
      <c r="E481" s="22" t="s">
        <v>785</v>
      </c>
      <c r="F481" s="22" t="s">
        <v>20</v>
      </c>
      <c r="G481" s="23" t="n">
        <v>1</v>
      </c>
      <c r="H481" s="24" t="n">
        <v>660</v>
      </c>
      <c r="I481" s="24" t="n">
        <v>660</v>
      </c>
      <c r="J481" s="24" t="n">
        <v>0</v>
      </c>
      <c r="K481" s="24" t="n">
        <v>0</v>
      </c>
      <c r="L481" s="24" t="n">
        <v>0</v>
      </c>
      <c r="M481" s="6" t="s">
        <f>=I481+J481+K481+L481</f>
      </c>
      <c r="N481" s="24"/>
      <c r="O481" s="22"/>
    </row>
    <row collapsed="false" customFormat="false" customHeight="false" hidden="false" ht="12.1" outlineLevel="0" r="482">
      <c r="A482" s="20" t="n">
        <v>45560.628726852</v>
      </c>
      <c r="B482" s="16" t="s">
        <v>128</v>
      </c>
      <c r="C482" s="16" t="s">
        <v>721</v>
      </c>
      <c r="D482" s="16" t="s">
        <v>587</v>
      </c>
      <c r="E482" s="16" t="s">
        <v>122</v>
      </c>
      <c r="F482" s="16" t="s">
        <v>20</v>
      </c>
      <c r="G482" s="7" t="n">
        <v>1150</v>
      </c>
      <c r="H482" s="6" t="n">
        <v>1.484104</v>
      </c>
      <c r="I482" s="6" t="n">
        <v>-1706.72</v>
      </c>
      <c r="J482" s="6" t="n">
        <v>0</v>
      </c>
      <c r="K482" s="6" t="n">
        <v>0</v>
      </c>
      <c r="L482" s="6" t="n">
        <v>0</v>
      </c>
      <c r="M482" s="6" t="s">
        <f>=I482+J482+K482+L482</f>
      </c>
      <c r="N482" s="6"/>
      <c r="O482" s="16"/>
    </row>
    <row collapsed="false" customFormat="false" customHeight="false" hidden="false" ht="12.1" outlineLevel="0" r="483">
      <c r="A483" s="20" t="n">
        <v>45560.640497685</v>
      </c>
      <c r="B483" s="16" t="s">
        <v>141</v>
      </c>
      <c r="C483" s="16" t="s">
        <v>818</v>
      </c>
      <c r="D483" s="16" t="s">
        <v>587</v>
      </c>
      <c r="E483" s="16" t="s">
        <v>135</v>
      </c>
      <c r="F483" s="16" t="s">
        <v>20</v>
      </c>
      <c r="G483" s="7" t="n">
        <v>3</v>
      </c>
      <c r="H483" s="6" t="n">
        <v>67.326</v>
      </c>
      <c r="I483" s="6" t="n">
        <v>-2019.78</v>
      </c>
      <c r="J483" s="6" t="n">
        <v>-91.02</v>
      </c>
      <c r="K483" s="6" t="n">
        <v>-1.18</v>
      </c>
      <c r="L483" s="6" t="n">
        <v>0</v>
      </c>
      <c r="M483" s="6" t="s">
        <f>=I483+J483+K483+L483</f>
      </c>
      <c r="N483" s="6"/>
      <c r="O483" s="16"/>
    </row>
    <row collapsed="false" customFormat="false" customHeight="false" hidden="false" ht="12.1" outlineLevel="0" r="484">
      <c r="A484" s="25" t="n">
        <v>45561.419768519</v>
      </c>
      <c r="B484" s="26" t="s">
        <v>598</v>
      </c>
      <c r="C484" s="26" t="s">
        <v>738</v>
      </c>
      <c r="D484" s="26" t="s">
        <v>588</v>
      </c>
      <c r="E484" s="26" t="s">
        <v>18</v>
      </c>
      <c r="F484" s="26" t="s">
        <v>20</v>
      </c>
      <c r="G484" s="27" t="n">
        <v>-5</v>
      </c>
      <c r="H484" s="28" t="n">
        <v>129.5</v>
      </c>
      <c r="I484" s="28" t="n">
        <v>647.5</v>
      </c>
      <c r="J484" s="28" t="n">
        <v>0</v>
      </c>
      <c r="K484" s="28" t="n">
        <v>-0.51</v>
      </c>
      <c r="L484" s="28" t="n">
        <v>0</v>
      </c>
      <c r="M484" s="6" t="s">
        <f>=I484+J484+K484+L484</f>
      </c>
      <c r="N484" s="28"/>
      <c r="O484" s="26"/>
    </row>
    <row collapsed="false" customFormat="false" customHeight="false" hidden="false" ht="12.1" outlineLevel="0" r="485">
      <c r="A485" s="20" t="n">
        <v>45561.422592593</v>
      </c>
      <c r="B485" s="16" t="s">
        <v>128</v>
      </c>
      <c r="C485" s="16" t="s">
        <v>721</v>
      </c>
      <c r="D485" s="16" t="s">
        <v>587</v>
      </c>
      <c r="E485" s="16" t="s">
        <v>122</v>
      </c>
      <c r="F485" s="16" t="s">
        <v>20</v>
      </c>
      <c r="G485" s="7" t="n">
        <v>500</v>
      </c>
      <c r="H485" s="6" t="n">
        <v>1.4848</v>
      </c>
      <c r="I485" s="6" t="n">
        <v>-742.4</v>
      </c>
      <c r="J485" s="6" t="n">
        <v>0</v>
      </c>
      <c r="K485" s="6" t="n">
        <v>0</v>
      </c>
      <c r="L485" s="6" t="n">
        <v>0</v>
      </c>
      <c r="M485" s="6" t="s">
        <f>=I485+J485+K485+L485</f>
      </c>
      <c r="N485" s="6"/>
      <c r="O485" s="16"/>
    </row>
    <row collapsed="false" customFormat="false" customHeight="false" hidden="false" ht="12.1" outlineLevel="0" r="486">
      <c r="A486" s="25" t="n">
        <v>45565.418240741</v>
      </c>
      <c r="B486" s="26" t="s">
        <v>598</v>
      </c>
      <c r="C486" s="26" t="s">
        <v>738</v>
      </c>
      <c r="D486" s="26" t="s">
        <v>588</v>
      </c>
      <c r="E486" s="26" t="s">
        <v>18</v>
      </c>
      <c r="F486" s="26" t="s">
        <v>20</v>
      </c>
      <c r="G486" s="27" t="n">
        <v>-3</v>
      </c>
      <c r="H486" s="28" t="n">
        <v>134.4</v>
      </c>
      <c r="I486" s="28" t="n">
        <v>403.2</v>
      </c>
      <c r="J486" s="28" t="n">
        <v>0</v>
      </c>
      <c r="K486" s="28" t="n">
        <v>-0.32</v>
      </c>
      <c r="L486" s="28" t="n">
        <v>0</v>
      </c>
      <c r="M486" s="6" t="s">
        <f>=I486+J486+K486+L486</f>
      </c>
      <c r="N486" s="28"/>
      <c r="O486" s="26"/>
    </row>
    <row collapsed="false" customFormat="false" customHeight="false" hidden="false" ht="12.1" outlineLevel="0" r="487">
      <c r="A487" s="20" t="n">
        <v>45565.421099537</v>
      </c>
      <c r="B487" s="16" t="s">
        <v>128</v>
      </c>
      <c r="C487" s="16" t="s">
        <v>721</v>
      </c>
      <c r="D487" s="16" t="s">
        <v>587</v>
      </c>
      <c r="E487" s="16" t="s">
        <v>122</v>
      </c>
      <c r="F487" s="16" t="s">
        <v>20</v>
      </c>
      <c r="G487" s="7" t="n">
        <v>270</v>
      </c>
      <c r="H487" s="6" t="n">
        <v>1.487815</v>
      </c>
      <c r="I487" s="6" t="n">
        <v>-401.71</v>
      </c>
      <c r="J487" s="6" t="n">
        <v>0</v>
      </c>
      <c r="K487" s="6" t="n">
        <v>0</v>
      </c>
      <c r="L487" s="6" t="n">
        <v>0</v>
      </c>
      <c r="M487" s="6" t="s">
        <f>=I487+J487+K487+L487</f>
      </c>
      <c r="N487" s="6"/>
      <c r="O487" s="16"/>
    </row>
    <row collapsed="false" customFormat="false" customHeight="false" hidden="false" ht="12.1" outlineLevel="0" r="488">
      <c r="A488" s="21" t="n">
        <v>45567</v>
      </c>
      <c r="B488" s="22" t="s">
        <v>785</v>
      </c>
      <c r="C488" s="22" t="s">
        <v>816</v>
      </c>
      <c r="D488" s="22" t="s">
        <v>785</v>
      </c>
      <c r="E488" s="22" t="s">
        <v>785</v>
      </c>
      <c r="F488" s="22" t="s">
        <v>20</v>
      </c>
      <c r="G488" s="23" t="n">
        <v>2</v>
      </c>
      <c r="H488" s="24" t="n">
        <v>365.065</v>
      </c>
      <c r="I488" s="24" t="n">
        <v>730.13</v>
      </c>
      <c r="J488" s="24" t="n">
        <v>0</v>
      </c>
      <c r="K488" s="24" t="n">
        <v>0</v>
      </c>
      <c r="L488" s="24" t="n">
        <v>0</v>
      </c>
      <c r="M488" s="6" t="s">
        <f>=I488+J488+K488+L488</f>
      </c>
      <c r="N488" s="24"/>
      <c r="O488" s="22"/>
    </row>
    <row collapsed="false" customFormat="false" customHeight="false" hidden="false" ht="12.1" outlineLevel="0" r="489">
      <c r="A489" s="21" t="n">
        <v>45567</v>
      </c>
      <c r="B489" s="22" t="s">
        <v>710</v>
      </c>
      <c r="C489" s="22" t="s">
        <v>255</v>
      </c>
      <c r="D489" s="22" t="s">
        <v>710</v>
      </c>
      <c r="E489" s="22" t="s">
        <v>710</v>
      </c>
      <c r="F489" s="22" t="s">
        <v>20</v>
      </c>
      <c r="G489" s="23" t="n">
        <v>2</v>
      </c>
      <c r="H489" s="24" t="n">
        <v>889.735</v>
      </c>
      <c r="I489" s="24" t="n">
        <v>1779.47</v>
      </c>
      <c r="J489" s="24" t="n">
        <v>0</v>
      </c>
      <c r="K489" s="24" t="n">
        <v>0</v>
      </c>
      <c r="L489" s="24" t="n">
        <v>0</v>
      </c>
      <c r="M489" s="6" t="s">
        <f>=I489+J489+K489+L489</f>
      </c>
      <c r="N489" s="24"/>
      <c r="O489" s="22"/>
    </row>
    <row collapsed="false" customFormat="false" customHeight="false" hidden="false" ht="12.1" outlineLevel="0" r="490">
      <c r="A490" s="20" t="n">
        <v>45567.542685185</v>
      </c>
      <c r="B490" s="16" t="s">
        <v>121</v>
      </c>
      <c r="C490" s="16" t="s">
        <v>774</v>
      </c>
      <c r="D490" s="16" t="s">
        <v>587</v>
      </c>
      <c r="E490" s="16" t="s">
        <v>122</v>
      </c>
      <c r="F490" s="16" t="s">
        <v>20</v>
      </c>
      <c r="G490" s="7" t="n">
        <v>2</v>
      </c>
      <c r="H490" s="6" t="n">
        <v>144.5</v>
      </c>
      <c r="I490" s="6" t="n">
        <v>-289</v>
      </c>
      <c r="J490" s="6" t="n">
        <v>0</v>
      </c>
      <c r="K490" s="6" t="n">
        <v>-0.09</v>
      </c>
      <c r="L490" s="6" t="n">
        <v>0</v>
      </c>
      <c r="M490" s="6" t="s">
        <f>=I490+J490+K490+L490</f>
      </c>
      <c r="N490" s="6"/>
      <c r="O490" s="16"/>
    </row>
    <row collapsed="false" customFormat="false" customHeight="false" hidden="false" ht="12.1" outlineLevel="0" r="491">
      <c r="A491" s="21" t="n">
        <v>45568</v>
      </c>
      <c r="B491" s="22" t="s">
        <v>710</v>
      </c>
      <c r="C491" s="22" t="s">
        <v>255</v>
      </c>
      <c r="D491" s="22" t="s">
        <v>710</v>
      </c>
      <c r="E491" s="22" t="s">
        <v>710</v>
      </c>
      <c r="F491" s="22" t="s">
        <v>20</v>
      </c>
      <c r="G491" s="23" t="n">
        <v>1</v>
      </c>
      <c r="H491" s="24" t="n">
        <v>351.68</v>
      </c>
      <c r="I491" s="24" t="n">
        <v>351.68</v>
      </c>
      <c r="J491" s="24" t="n">
        <v>0</v>
      </c>
      <c r="K491" s="24" t="n">
        <v>0</v>
      </c>
      <c r="L491" s="24" t="n">
        <v>0</v>
      </c>
      <c r="M491" s="6" t="s">
        <f>=I491+J491+K491+L491</f>
      </c>
      <c r="N491" s="24"/>
      <c r="O491" s="22"/>
    </row>
    <row collapsed="false" customFormat="false" customHeight="false" hidden="false" ht="12.1" outlineLevel="0" r="492">
      <c r="A492" s="20" t="n">
        <v>45568.763611111</v>
      </c>
      <c r="B492" s="16" t="s">
        <v>141</v>
      </c>
      <c r="C492" s="16" t="s">
        <v>818</v>
      </c>
      <c r="D492" s="16" t="s">
        <v>587</v>
      </c>
      <c r="E492" s="16" t="s">
        <v>135</v>
      </c>
      <c r="F492" s="16" t="s">
        <v>20</v>
      </c>
      <c r="G492" s="7" t="n">
        <v>3</v>
      </c>
      <c r="H492" s="6" t="n">
        <v>65.234</v>
      </c>
      <c r="I492" s="6" t="n">
        <v>-1957.02</v>
      </c>
      <c r="J492" s="6" t="n">
        <v>-97.47</v>
      </c>
      <c r="K492" s="6" t="n">
        <v>-1.27</v>
      </c>
      <c r="L492" s="6" t="n">
        <v>0</v>
      </c>
      <c r="M492" s="6" t="s">
        <f>=I492+J492+K492+L492</f>
      </c>
      <c r="N492" s="6"/>
      <c r="O492" s="16"/>
    </row>
    <row collapsed="false" customFormat="false" customHeight="false" hidden="false" ht="12.1" outlineLevel="0" r="493">
      <c r="A493" s="20" t="n">
        <v>45568.766898148</v>
      </c>
      <c r="B493" s="16" t="s">
        <v>121</v>
      </c>
      <c r="C493" s="16" t="s">
        <v>774</v>
      </c>
      <c r="D493" s="16" t="s">
        <v>587</v>
      </c>
      <c r="E493" s="16" t="s">
        <v>122</v>
      </c>
      <c r="F493" s="16" t="s">
        <v>20</v>
      </c>
      <c r="G493" s="7" t="n">
        <v>3</v>
      </c>
      <c r="H493" s="6" t="n">
        <v>144.33333333333</v>
      </c>
      <c r="I493" s="6" t="n">
        <v>-433</v>
      </c>
      <c r="J493" s="6" t="n">
        <v>0</v>
      </c>
      <c r="K493" s="6" t="n">
        <v>-0.13</v>
      </c>
      <c r="L493" s="6" t="n">
        <v>0</v>
      </c>
      <c r="M493" s="6" t="s">
        <f>=I493+J493+K493+L493</f>
      </c>
      <c r="N493" s="6"/>
      <c r="O493" s="16"/>
    </row>
    <row collapsed="false" customFormat="false" customHeight="false" hidden="false" ht="12.1" outlineLevel="0" r="494">
      <c r="A494" s="25" t="n">
        <v>45573.487523148</v>
      </c>
      <c r="B494" s="26" t="s">
        <v>126</v>
      </c>
      <c r="C494" s="26" t="s">
        <v>776</v>
      </c>
      <c r="D494" s="26" t="s">
        <v>588</v>
      </c>
      <c r="E494" s="26" t="s">
        <v>122</v>
      </c>
      <c r="F494" s="26" t="s">
        <v>20</v>
      </c>
      <c r="G494" s="27" t="n">
        <v>-100</v>
      </c>
      <c r="H494" s="28" t="n">
        <v>153.813</v>
      </c>
      <c r="I494" s="28" t="n">
        <v>15381.3</v>
      </c>
      <c r="J494" s="28" t="n">
        <v>0</v>
      </c>
      <c r="K494" s="28" t="n">
        <v>0</v>
      </c>
      <c r="L494" s="28" t="n">
        <v>0</v>
      </c>
      <c r="M494" s="6" t="s">
        <f>=I494+J494+K494+L494</f>
      </c>
      <c r="N494" s="28"/>
      <c r="O494" s="26"/>
    </row>
    <row collapsed="false" customFormat="false" customHeight="false" hidden="false" ht="12.1" outlineLevel="0" r="495">
      <c r="A495" s="33" t="n">
        <v>45573.489421296</v>
      </c>
      <c r="B495" s="34" t="s">
        <v>750</v>
      </c>
      <c r="C495" s="34" t="s">
        <v>832</v>
      </c>
      <c r="D495" s="34" t="s">
        <v>588</v>
      </c>
      <c r="E495" s="34" t="s">
        <v>752</v>
      </c>
      <c r="F495" s="34" t="s">
        <v>20</v>
      </c>
      <c r="G495" s="35" t="n">
        <v>-423</v>
      </c>
      <c r="H495" s="36" t="n">
        <v>13.5277</v>
      </c>
      <c r="I495" s="36" t="n">
        <v>5722.22</v>
      </c>
      <c r="J495" s="36" t="n">
        <v>0</v>
      </c>
      <c r="K495" s="36" t="n">
        <v>-2.86</v>
      </c>
      <c r="L495" s="36" t="n">
        <v>0</v>
      </c>
      <c r="M495" s="6" t="n">
        <v>-423</v>
      </c>
      <c r="N495" s="36"/>
      <c r="O495" s="34"/>
    </row>
    <row collapsed="false" customFormat="false" customHeight="false" hidden="false" ht="12.1" outlineLevel="0" r="496">
      <c r="A496" s="20" t="n">
        <v>45573.577268519</v>
      </c>
      <c r="B496" s="16" t="s">
        <v>159</v>
      </c>
      <c r="C496" s="16" t="s">
        <v>827</v>
      </c>
      <c r="D496" s="16" t="s">
        <v>587</v>
      </c>
      <c r="E496" s="16" t="s">
        <v>135</v>
      </c>
      <c r="F496" s="16" t="s">
        <v>20</v>
      </c>
      <c r="G496" s="7" t="n">
        <v>14</v>
      </c>
      <c r="H496" s="6" t="n">
        <v>68.166</v>
      </c>
      <c r="I496" s="6" t="n">
        <v>-9543.24</v>
      </c>
      <c r="J496" s="6" t="n">
        <v>-484.68</v>
      </c>
      <c r="K496" s="6" t="n">
        <v>-5.97</v>
      </c>
      <c r="L496" s="6" t="n">
        <v>0</v>
      </c>
      <c r="M496" s="6" t="s">
        <f>=I496+J496+K496+L496</f>
      </c>
      <c r="N496" s="6"/>
      <c r="O496" s="16"/>
    </row>
    <row collapsed="false" customFormat="false" customHeight="false" hidden="false" ht="12.1" outlineLevel="0" r="497">
      <c r="A497" s="20" t="n">
        <v>45573.577905093</v>
      </c>
      <c r="B497" s="16" t="s">
        <v>153</v>
      </c>
      <c r="C497" s="16" t="s">
        <v>828</v>
      </c>
      <c r="D497" s="16" t="s">
        <v>587</v>
      </c>
      <c r="E497" s="16" t="s">
        <v>135</v>
      </c>
      <c r="F497" s="16" t="s">
        <v>20</v>
      </c>
      <c r="G497" s="7" t="n">
        <v>14</v>
      </c>
      <c r="H497" s="6" t="n">
        <v>77.770214285714</v>
      </c>
      <c r="I497" s="6" t="n">
        <v>-10887.83</v>
      </c>
      <c r="J497" s="6" t="n">
        <v>-64.4</v>
      </c>
      <c r="K497" s="6" t="n">
        <v>-6.8</v>
      </c>
      <c r="L497" s="6" t="n">
        <v>0</v>
      </c>
      <c r="M497" s="6" t="s">
        <f>=I497+J497+K497+L497</f>
      </c>
      <c r="N497" s="6"/>
      <c r="O497" s="16"/>
    </row>
    <row collapsed="false" customFormat="false" customHeight="false" hidden="false" ht="12.1" outlineLevel="0" r="498">
      <c r="A498" s="20" t="n">
        <v>45573.57849537</v>
      </c>
      <c r="B498" s="16" t="s">
        <v>121</v>
      </c>
      <c r="C498" s="16" t="s">
        <v>774</v>
      </c>
      <c r="D498" s="16" t="s">
        <v>587</v>
      </c>
      <c r="E498" s="16" t="s">
        <v>122</v>
      </c>
      <c r="F498" s="16" t="s">
        <v>20</v>
      </c>
      <c r="G498" s="7" t="n">
        <v>1</v>
      </c>
      <c r="H498" s="6" t="n">
        <v>144.34</v>
      </c>
      <c r="I498" s="6" t="n">
        <v>-144.34</v>
      </c>
      <c r="J498" s="6" t="n">
        <v>0</v>
      </c>
      <c r="K498" s="6" t="n">
        <v>-0.04</v>
      </c>
      <c r="L498" s="6" t="n">
        <v>0</v>
      </c>
      <c r="M498" s="6" t="s">
        <f>=I498+J498+K498+L498</f>
      </c>
      <c r="N498" s="6"/>
      <c r="O498" s="16"/>
    </row>
    <row collapsed="false" customFormat="false" customHeight="false" hidden="false" ht="12.1" outlineLevel="0" r="499">
      <c r="A499" s="21" t="n">
        <v>45574</v>
      </c>
      <c r="B499" s="22" t="s">
        <v>710</v>
      </c>
      <c r="C499" s="22" t="s">
        <v>255</v>
      </c>
      <c r="D499" s="22" t="s">
        <v>710</v>
      </c>
      <c r="E499" s="22" t="s">
        <v>710</v>
      </c>
      <c r="F499" s="22" t="s">
        <v>20</v>
      </c>
      <c r="G499" s="23" t="n">
        <v>1</v>
      </c>
      <c r="H499" s="24" t="n">
        <v>97.12</v>
      </c>
      <c r="I499" s="24" t="n">
        <v>97.12</v>
      </c>
      <c r="J499" s="24" t="n">
        <v>0</v>
      </c>
      <c r="K499" s="24" t="n">
        <v>0</v>
      </c>
      <c r="L499" s="24" t="n">
        <v>0</v>
      </c>
      <c r="M499" s="6" t="s">
        <f>=I499+J499+K499+L499</f>
      </c>
      <c r="N499" s="24"/>
      <c r="O499" s="22"/>
    </row>
    <row collapsed="false" customFormat="false" customHeight="false" hidden="false" ht="12.1" outlineLevel="0" r="500">
      <c r="A500" s="20" t="n">
        <v>45574.920347222</v>
      </c>
      <c r="B500" s="16" t="s">
        <v>121</v>
      </c>
      <c r="C500" s="16" t="s">
        <v>774</v>
      </c>
      <c r="D500" s="16" t="s">
        <v>587</v>
      </c>
      <c r="E500" s="16" t="s">
        <v>122</v>
      </c>
      <c r="F500" s="16" t="s">
        <v>20</v>
      </c>
      <c r="G500" s="7" t="n">
        <v>1</v>
      </c>
      <c r="H500" s="6" t="n">
        <v>144.38</v>
      </c>
      <c r="I500" s="6" t="n">
        <v>-144.38</v>
      </c>
      <c r="J500" s="6" t="n">
        <v>0</v>
      </c>
      <c r="K500" s="6" t="n">
        <v>-0.04</v>
      </c>
      <c r="L500" s="6" t="n">
        <v>0</v>
      </c>
      <c r="M500" s="6" t="s">
        <f>=I500+J500+K500+L500</f>
      </c>
      <c r="N500" s="6"/>
      <c r="O500" s="16"/>
    </row>
    <row collapsed="false" customFormat="false" customHeight="false" hidden="false" ht="12.1" outlineLevel="0" r="501">
      <c r="A501" s="20" t="n">
        <v>45593.422118056</v>
      </c>
      <c r="B501" s="16" t="s">
        <v>598</v>
      </c>
      <c r="C501" s="16" t="s">
        <v>738</v>
      </c>
      <c r="D501" s="16" t="s">
        <v>587</v>
      </c>
      <c r="E501" s="16" t="s">
        <v>18</v>
      </c>
      <c r="F501" s="16" t="s">
        <v>20</v>
      </c>
      <c r="G501" s="7" t="n">
        <v>90</v>
      </c>
      <c r="H501" s="6" t="n">
        <v>109.7</v>
      </c>
      <c r="I501" s="6" t="n">
        <v>-9873</v>
      </c>
      <c r="J501" s="6" t="n">
        <v>0</v>
      </c>
      <c r="K501" s="6" t="n">
        <v>-4.94</v>
      </c>
      <c r="L501" s="6" t="n">
        <v>0</v>
      </c>
      <c r="M501" s="6" t="s">
        <f>=I501+J501+K501+L501</f>
      </c>
      <c r="N501" s="6"/>
      <c r="O501" s="16"/>
    </row>
    <row collapsed="false" customFormat="false" customHeight="false" hidden="false" ht="12.1" outlineLevel="0" r="502">
      <c r="A502" s="25" t="n">
        <v>45593.423356481</v>
      </c>
      <c r="B502" s="26" t="s">
        <v>128</v>
      </c>
      <c r="C502" s="26" t="s">
        <v>721</v>
      </c>
      <c r="D502" s="26" t="s">
        <v>588</v>
      </c>
      <c r="E502" s="26" t="s">
        <v>122</v>
      </c>
      <c r="F502" s="26" t="s">
        <v>20</v>
      </c>
      <c r="G502" s="27" t="n">
        <v>-6620</v>
      </c>
      <c r="H502" s="28" t="n">
        <v>1.5085</v>
      </c>
      <c r="I502" s="28" t="n">
        <v>9986.27</v>
      </c>
      <c r="J502" s="28" t="n">
        <v>0</v>
      </c>
      <c r="K502" s="28" t="n">
        <v>0</v>
      </c>
      <c r="L502" s="28" t="n">
        <v>0</v>
      </c>
      <c r="M502" s="6" t="s">
        <f>=I502+J502+K502+L502</f>
      </c>
      <c r="N502" s="28"/>
      <c r="O502" s="26"/>
    </row>
    <row collapsed="false" customFormat="false" customHeight="false" hidden="false" ht="12.1" outlineLevel="0" r="503">
      <c r="A503" s="21" t="n">
        <v>45594</v>
      </c>
      <c r="B503" s="22" t="s">
        <v>710</v>
      </c>
      <c r="C503" s="22" t="s">
        <v>255</v>
      </c>
      <c r="D503" s="22" t="s">
        <v>710</v>
      </c>
      <c r="E503" s="22" t="s">
        <v>710</v>
      </c>
      <c r="F503" s="22" t="s">
        <v>20</v>
      </c>
      <c r="G503" s="23" t="n">
        <v>2</v>
      </c>
      <c r="H503" s="24" t="n">
        <v>793.51</v>
      </c>
      <c r="I503" s="24" t="n">
        <v>1587.02</v>
      </c>
      <c r="J503" s="24" t="n">
        <v>0</v>
      </c>
      <c r="K503" s="24" t="n">
        <v>0</v>
      </c>
      <c r="L503" s="24" t="n">
        <v>0</v>
      </c>
      <c r="M503" s="6" t="s">
        <f>=I503+J503+K503+L503</f>
      </c>
      <c r="N503" s="24"/>
      <c r="O503" s="22"/>
    </row>
    <row collapsed="false" customFormat="false" customHeight="false" hidden="false" ht="12.1" outlineLevel="0" r="504">
      <c r="A504" s="20" t="n">
        <v>45594.423842593</v>
      </c>
      <c r="B504" s="16" t="s">
        <v>124</v>
      </c>
      <c r="C504" s="16" t="s">
        <v>719</v>
      </c>
      <c r="D504" s="16" t="s">
        <v>587</v>
      </c>
      <c r="E504" s="16" t="s">
        <v>122</v>
      </c>
      <c r="F504" s="16" t="s">
        <v>20</v>
      </c>
      <c r="G504" s="7" t="n">
        <v>6</v>
      </c>
      <c r="H504" s="6" t="n">
        <v>122.2</v>
      </c>
      <c r="I504" s="6" t="n">
        <v>-733.2</v>
      </c>
      <c r="J504" s="6" t="n">
        <v>0</v>
      </c>
      <c r="K504" s="6" t="n">
        <v>-0.22</v>
      </c>
      <c r="L504" s="6" t="n">
        <v>0</v>
      </c>
      <c r="M504" s="6" t="s">
        <f>=I504+J504+K504+L504</f>
      </c>
      <c r="N504" s="6"/>
      <c r="O504" s="16"/>
    </row>
    <row collapsed="false" customFormat="false" customHeight="false" hidden="false" ht="12.1" outlineLevel="0" r="505">
      <c r="A505" s="20" t="n">
        <v>45594.45375</v>
      </c>
      <c r="B505" s="16" t="s">
        <v>17</v>
      </c>
      <c r="C505" s="16" t="s">
        <v>711</v>
      </c>
      <c r="D505" s="16" t="s">
        <v>587</v>
      </c>
      <c r="E505" s="16" t="s">
        <v>18</v>
      </c>
      <c r="F505" s="16" t="s">
        <v>20</v>
      </c>
      <c r="G505" s="7" t="n">
        <v>100</v>
      </c>
      <c r="H505" s="6" t="n">
        <v>443.1</v>
      </c>
      <c r="I505" s="6" t="n">
        <v>-44310</v>
      </c>
      <c r="J505" s="6" t="n">
        <v>0</v>
      </c>
      <c r="K505" s="6" t="n">
        <v>-35.45</v>
      </c>
      <c r="L505" s="6" t="n">
        <v>0</v>
      </c>
      <c r="M505" s="6" t="s">
        <f>=I505+J505+K505+L505</f>
      </c>
      <c r="N505" s="6"/>
      <c r="O505" s="16"/>
    </row>
    <row collapsed="false" customFormat="false" customHeight="false" hidden="false" ht="12.1" outlineLevel="0" r="506">
      <c r="A506" s="25" t="n">
        <v>45594.716076389</v>
      </c>
      <c r="B506" s="26" t="s">
        <v>128</v>
      </c>
      <c r="C506" s="26" t="s">
        <v>721</v>
      </c>
      <c r="D506" s="26" t="s">
        <v>588</v>
      </c>
      <c r="E506" s="26" t="s">
        <v>122</v>
      </c>
      <c r="F506" s="26" t="s">
        <v>20</v>
      </c>
      <c r="G506" s="27" t="n">
        <v>-28750</v>
      </c>
      <c r="H506" s="28" t="n">
        <v>1.509</v>
      </c>
      <c r="I506" s="28" t="n">
        <v>43383.75</v>
      </c>
      <c r="J506" s="28" t="n">
        <v>0</v>
      </c>
      <c r="K506" s="28" t="n">
        <v>0</v>
      </c>
      <c r="L506" s="28" t="n">
        <v>0</v>
      </c>
      <c r="M506" s="6" t="s">
        <f>=I506+J506+K506+L506</f>
      </c>
      <c r="N506" s="28"/>
      <c r="O506" s="26"/>
    </row>
    <row collapsed="false" customFormat="false" customHeight="false" hidden="false" ht="12.1" outlineLevel="0" r="507">
      <c r="A507" s="21" t="n">
        <v>45597</v>
      </c>
      <c r="B507" s="22" t="s">
        <v>785</v>
      </c>
      <c r="C507" s="22" t="s">
        <v>833</v>
      </c>
      <c r="D507" s="22" t="s">
        <v>785</v>
      </c>
      <c r="E507" s="22" t="s">
        <v>785</v>
      </c>
      <c r="F507" s="22" t="s">
        <v>20</v>
      </c>
      <c r="G507" s="23" t="n">
        <v>1</v>
      </c>
      <c r="H507" s="24" t="n">
        <v>328.37</v>
      </c>
      <c r="I507" s="24" t="n">
        <v>328.37</v>
      </c>
      <c r="J507" s="24" t="n">
        <v>0</v>
      </c>
      <c r="K507" s="24" t="n">
        <v>0</v>
      </c>
      <c r="L507" s="24" t="n">
        <v>0</v>
      </c>
      <c r="M507" s="6" t="s">
        <f>=I507+J507+K507+L507</f>
      </c>
      <c r="N507" s="24"/>
      <c r="O507" s="22"/>
    </row>
    <row collapsed="false" customFormat="false" customHeight="false" hidden="false" ht="12.1" outlineLevel="0" r="508">
      <c r="A508" s="20" t="n">
        <v>45597.806273148</v>
      </c>
      <c r="B508" s="16" t="s">
        <v>128</v>
      </c>
      <c r="C508" s="16" t="s">
        <v>721</v>
      </c>
      <c r="D508" s="16" t="s">
        <v>587</v>
      </c>
      <c r="E508" s="16" t="s">
        <v>122</v>
      </c>
      <c r="F508" s="16" t="s">
        <v>20</v>
      </c>
      <c r="G508" s="7" t="n">
        <v>200</v>
      </c>
      <c r="H508" s="6" t="n">
        <v>1.5114</v>
      </c>
      <c r="I508" s="6" t="n">
        <v>-302.28</v>
      </c>
      <c r="J508" s="6" t="n">
        <v>0</v>
      </c>
      <c r="K508" s="6" t="n">
        <v>0</v>
      </c>
      <c r="L508" s="6" t="n">
        <v>0</v>
      </c>
      <c r="M508" s="6" t="s">
        <f>=I508+J508+K508+L508</f>
      </c>
      <c r="N508" s="6"/>
      <c r="O508" s="16"/>
    </row>
    <row collapsed="false" customFormat="false" customHeight="false" hidden="false" ht="12.1" outlineLevel="0" r="509">
      <c r="A509" s="21" t="n">
        <v>45598</v>
      </c>
      <c r="B509" s="22" t="s">
        <v>785</v>
      </c>
      <c r="C509" s="22" t="s">
        <v>816</v>
      </c>
      <c r="D509" s="22" t="s">
        <v>785</v>
      </c>
      <c r="E509" s="22" t="s">
        <v>785</v>
      </c>
      <c r="F509" s="22" t="s">
        <v>20</v>
      </c>
      <c r="G509" s="23" t="n">
        <v>1</v>
      </c>
      <c r="H509" s="24" t="n">
        <v>360.3</v>
      </c>
      <c r="I509" s="24" t="n">
        <v>360.3</v>
      </c>
      <c r="J509" s="24" t="n">
        <v>0</v>
      </c>
      <c r="K509" s="24" t="n">
        <v>0</v>
      </c>
      <c r="L509" s="24" t="n">
        <v>0</v>
      </c>
      <c r="M509" s="6" t="s">
        <f>=I509+J509+K509+L509</f>
      </c>
      <c r="N509" s="24"/>
      <c r="O509" s="22"/>
    </row>
    <row collapsed="false" customFormat="false" customHeight="false" hidden="false" ht="12.1" outlineLevel="0" r="510">
      <c r="A510" s="21" t="n">
        <v>45601</v>
      </c>
      <c r="B510" s="22" t="s">
        <v>710</v>
      </c>
      <c r="C510" s="22" t="s">
        <v>255</v>
      </c>
      <c r="D510" s="22" t="s">
        <v>710</v>
      </c>
      <c r="E510" s="22" t="s">
        <v>710</v>
      </c>
      <c r="F510" s="22" t="s">
        <v>20</v>
      </c>
      <c r="G510" s="23" t="n">
        <v>1</v>
      </c>
      <c r="H510" s="24" t="n">
        <v>130.3</v>
      </c>
      <c r="I510" s="24" t="n">
        <v>130.3</v>
      </c>
      <c r="J510" s="24" t="n">
        <v>0</v>
      </c>
      <c r="K510" s="24" t="n">
        <v>0</v>
      </c>
      <c r="L510" s="24" t="n">
        <v>0</v>
      </c>
      <c r="M510" s="6" t="s">
        <f>=I510+J510+K510+L510</f>
      </c>
      <c r="N510" s="24"/>
      <c r="O510" s="22"/>
    </row>
    <row collapsed="false" customFormat="false" customHeight="false" hidden="false" ht="12.1" outlineLevel="0" r="511">
      <c r="A511" s="20" t="n">
        <v>45602.487789352</v>
      </c>
      <c r="B511" s="16" t="s">
        <v>128</v>
      </c>
      <c r="C511" s="16" t="s">
        <v>721</v>
      </c>
      <c r="D511" s="16" t="s">
        <v>587</v>
      </c>
      <c r="E511" s="16" t="s">
        <v>122</v>
      </c>
      <c r="F511" s="16" t="s">
        <v>20</v>
      </c>
      <c r="G511" s="7" t="n">
        <v>8100</v>
      </c>
      <c r="H511" s="6" t="n">
        <v>1.5154000098765</v>
      </c>
      <c r="I511" s="6" t="n">
        <v>-12274.74</v>
      </c>
      <c r="J511" s="6" t="n">
        <v>0</v>
      </c>
      <c r="K511" s="6" t="n">
        <v>0</v>
      </c>
      <c r="L511" s="6" t="n">
        <v>0</v>
      </c>
      <c r="M511" s="6" t="s">
        <f>=I511+J511+K511+L511</f>
      </c>
      <c r="N511" s="6"/>
      <c r="O511" s="16"/>
    </row>
    <row collapsed="false" customFormat="false" customHeight="false" hidden="false" ht="12.1" outlineLevel="0" r="512">
      <c r="A512" s="25" t="n">
        <v>45602.729525463</v>
      </c>
      <c r="B512" s="26" t="s">
        <v>598</v>
      </c>
      <c r="C512" s="26" t="s">
        <v>738</v>
      </c>
      <c r="D512" s="26" t="s">
        <v>588</v>
      </c>
      <c r="E512" s="26" t="s">
        <v>18</v>
      </c>
      <c r="F512" s="26" t="s">
        <v>20</v>
      </c>
      <c r="G512" s="27" t="n">
        <v>-90</v>
      </c>
      <c r="H512" s="28" t="n">
        <v>130.8</v>
      </c>
      <c r="I512" s="28" t="n">
        <v>11772</v>
      </c>
      <c r="J512" s="28" t="n">
        <v>0</v>
      </c>
      <c r="K512" s="28" t="n">
        <v>-9.42</v>
      </c>
      <c r="L512" s="28" t="n">
        <v>0</v>
      </c>
      <c r="M512" s="6" t="s">
        <f>=I512+J512+K512+L512</f>
      </c>
      <c r="N512" s="28"/>
      <c r="O512" s="26"/>
    </row>
    <row collapsed="false" customFormat="false" customHeight="false" hidden="false" ht="12.1" outlineLevel="0" r="513">
      <c r="A513" s="21" t="n">
        <v>45603</v>
      </c>
      <c r="B513" s="22" t="s">
        <v>710</v>
      </c>
      <c r="C513" s="22" t="s">
        <v>255</v>
      </c>
      <c r="D513" s="22" t="s">
        <v>710</v>
      </c>
      <c r="E513" s="22" t="s">
        <v>710</v>
      </c>
      <c r="F513" s="22" t="s">
        <v>20</v>
      </c>
      <c r="G513" s="23" t="n">
        <v>1</v>
      </c>
      <c r="H513" s="24" t="n">
        <v>12095.41</v>
      </c>
      <c r="I513" s="24" t="n">
        <v>12095.41</v>
      </c>
      <c r="J513" s="24" t="n">
        <v>0</v>
      </c>
      <c r="K513" s="24" t="n">
        <v>0</v>
      </c>
      <c r="L513" s="24" t="n">
        <v>0</v>
      </c>
      <c r="M513" s="6" t="s">
        <f>=I513+J513+K513+L513</f>
      </c>
      <c r="N513" s="24"/>
      <c r="O513" s="22"/>
    </row>
    <row collapsed="false" customFormat="false" customHeight="false" hidden="false" ht="12.1" outlineLevel="0" r="514">
      <c r="A514" s="20" t="n">
        <v>45603.518993056</v>
      </c>
      <c r="B514" s="16" t="s">
        <v>34</v>
      </c>
      <c r="C514" s="16" t="s">
        <v>820</v>
      </c>
      <c r="D514" s="16" t="s">
        <v>587</v>
      </c>
      <c r="E514" s="16" t="s">
        <v>18</v>
      </c>
      <c r="F514" s="16" t="s">
        <v>20</v>
      </c>
      <c r="G514" s="7" t="n">
        <v>500</v>
      </c>
      <c r="H514" s="6" t="n">
        <v>8.505</v>
      </c>
      <c r="I514" s="6" t="n">
        <v>-4252.5</v>
      </c>
      <c r="J514" s="6" t="n">
        <v>0</v>
      </c>
      <c r="K514" s="6" t="n">
        <v>-3.4</v>
      </c>
      <c r="L514" s="6" t="n">
        <v>0</v>
      </c>
      <c r="M514" s="6" t="s">
        <f>=I514+J514+K514+L514</f>
      </c>
      <c r="N514" s="6"/>
      <c r="O514" s="16"/>
    </row>
    <row collapsed="false" customFormat="false" customHeight="false" hidden="false" ht="12.1" outlineLevel="0" r="515">
      <c r="A515" s="20" t="n">
        <v>45603.60931713</v>
      </c>
      <c r="B515" s="16" t="s">
        <v>128</v>
      </c>
      <c r="C515" s="16" t="s">
        <v>721</v>
      </c>
      <c r="D515" s="16" t="s">
        <v>587</v>
      </c>
      <c r="E515" s="16" t="s">
        <v>122</v>
      </c>
      <c r="F515" s="16" t="s">
        <v>20</v>
      </c>
      <c r="G515" s="7" t="n">
        <v>5150</v>
      </c>
      <c r="H515" s="6" t="n">
        <v>1.516301</v>
      </c>
      <c r="I515" s="6" t="n">
        <v>-7808.95</v>
      </c>
      <c r="J515" s="6" t="n">
        <v>0</v>
      </c>
      <c r="K515" s="6" t="n">
        <v>0</v>
      </c>
      <c r="L515" s="6" t="n">
        <v>0</v>
      </c>
      <c r="M515" s="6" t="s">
        <f>=I515+J515+K515+L515</f>
      </c>
      <c r="N515" s="6"/>
      <c r="O515" s="16"/>
    </row>
    <row collapsed="false" customFormat="false" customHeight="false" hidden="false" ht="12.1" outlineLevel="0" r="516">
      <c r="A516" s="20" t="n">
        <v>45604.590011574</v>
      </c>
      <c r="B516" s="16" t="s">
        <v>195</v>
      </c>
      <c r="C516" s="16" t="s">
        <v>834</v>
      </c>
      <c r="D516" s="16" t="s">
        <v>587</v>
      </c>
      <c r="E516" s="16" t="s">
        <v>135</v>
      </c>
      <c r="F516" s="16" t="s">
        <v>20</v>
      </c>
      <c r="G516" s="7" t="n">
        <v>5</v>
      </c>
      <c r="H516" s="6" t="n">
        <v>92.14</v>
      </c>
      <c r="I516" s="6" t="n">
        <v>-4607</v>
      </c>
      <c r="J516" s="6" t="n">
        <v>-21.9</v>
      </c>
      <c r="K516" s="6" t="n">
        <v>-2.87</v>
      </c>
      <c r="L516" s="6" t="n">
        <v>0</v>
      </c>
      <c r="M516" s="6" t="s">
        <f>=I516+J516+K516+L516</f>
      </c>
      <c r="N516" s="6"/>
      <c r="O516" s="16"/>
    </row>
    <row collapsed="false" customFormat="false" customHeight="false" hidden="false" ht="12.1" outlineLevel="0" r="517">
      <c r="A517" s="20" t="n">
        <v>45604.5909375</v>
      </c>
      <c r="B517" s="16" t="s">
        <v>615</v>
      </c>
      <c r="C517" s="16" t="s">
        <v>835</v>
      </c>
      <c r="D517" s="16" t="s">
        <v>587</v>
      </c>
      <c r="E517" s="16" t="s">
        <v>135</v>
      </c>
      <c r="F517" s="16" t="s">
        <v>20</v>
      </c>
      <c r="G517" s="7" t="n">
        <v>5</v>
      </c>
      <c r="H517" s="6" t="n">
        <v>85.3</v>
      </c>
      <c r="I517" s="6" t="n">
        <v>-4265</v>
      </c>
      <c r="J517" s="6" t="n">
        <v>-56.25</v>
      </c>
      <c r="K517" s="6" t="n">
        <v>-2.67</v>
      </c>
      <c r="L517" s="6" t="n">
        <v>0</v>
      </c>
      <c r="M517" s="6" t="s">
        <f>=I517+J517+K517+L517</f>
      </c>
      <c r="N517" s="6"/>
      <c r="O517" s="16"/>
    </row>
    <row collapsed="false" customFormat="false" customHeight="false" hidden="false" ht="12.1" outlineLevel="0" r="518">
      <c r="A518" s="25" t="n">
        <v>45604.592916667</v>
      </c>
      <c r="B518" s="26" t="s">
        <v>128</v>
      </c>
      <c r="C518" s="26" t="s">
        <v>721</v>
      </c>
      <c r="D518" s="26" t="s">
        <v>588</v>
      </c>
      <c r="E518" s="26" t="s">
        <v>122</v>
      </c>
      <c r="F518" s="26" t="s">
        <v>20</v>
      </c>
      <c r="G518" s="27" t="n">
        <v>-5880</v>
      </c>
      <c r="H518" s="28" t="n">
        <v>1.5186</v>
      </c>
      <c r="I518" s="28" t="n">
        <v>8929.37</v>
      </c>
      <c r="J518" s="28" t="n">
        <v>0</v>
      </c>
      <c r="K518" s="28" t="n">
        <v>0</v>
      </c>
      <c r="L518" s="28" t="n">
        <v>0</v>
      </c>
      <c r="M518" s="6" t="s">
        <f>=I518+J518+K518+L518</f>
      </c>
      <c r="N518" s="28"/>
      <c r="O518" s="26"/>
    </row>
    <row collapsed="false" customFormat="false" customHeight="false" hidden="false" ht="12.1" outlineLevel="0" r="519">
      <c r="A519" s="21" t="n">
        <v>45607</v>
      </c>
      <c r="B519" s="22" t="s">
        <v>785</v>
      </c>
      <c r="C519" s="22" t="s">
        <v>836</v>
      </c>
      <c r="D519" s="22" t="s">
        <v>785</v>
      </c>
      <c r="E519" s="22" t="s">
        <v>785</v>
      </c>
      <c r="F519" s="22" t="s">
        <v>20</v>
      </c>
      <c r="G519" s="23" t="n">
        <v>1</v>
      </c>
      <c r="H519" s="24" t="n">
        <v>400</v>
      </c>
      <c r="I519" s="24" t="n">
        <v>400</v>
      </c>
      <c r="J519" s="24" t="n">
        <v>0</v>
      </c>
      <c r="K519" s="24" t="n">
        <v>0</v>
      </c>
      <c r="L519" s="24" t="n">
        <v>0</v>
      </c>
      <c r="M519" s="6" t="s">
        <f>=I519+J519+K519+L519</f>
      </c>
      <c r="N519" s="24"/>
      <c r="O519" s="22"/>
    </row>
    <row collapsed="false" customFormat="false" customHeight="false" hidden="false" ht="12.1" outlineLevel="0" r="520">
      <c r="A520" s="20" t="n">
        <v>45607.425324074</v>
      </c>
      <c r="B520" s="16" t="s">
        <v>37</v>
      </c>
      <c r="C520" s="16" t="s">
        <v>837</v>
      </c>
      <c r="D520" s="16" t="s">
        <v>587</v>
      </c>
      <c r="E520" s="16" t="s">
        <v>18</v>
      </c>
      <c r="F520" s="16" t="s">
        <v>20</v>
      </c>
      <c r="G520" s="7" t="n">
        <v>50</v>
      </c>
      <c r="H520" s="6" t="n">
        <v>112.44</v>
      </c>
      <c r="I520" s="6" t="n">
        <v>-5622</v>
      </c>
      <c r="J520" s="6" t="n">
        <v>0</v>
      </c>
      <c r="K520" s="6" t="n">
        <v>-4.5</v>
      </c>
      <c r="L520" s="6" t="n">
        <v>0</v>
      </c>
      <c r="M520" s="6" t="s">
        <f>=I520+J520+K520+L520</f>
      </c>
      <c r="N520" s="6"/>
      <c r="O520" s="16"/>
    </row>
    <row collapsed="false" customFormat="false" customHeight="false" hidden="false" ht="12.1" outlineLevel="0" r="521">
      <c r="A521" s="25" t="n">
        <v>45607.427638889</v>
      </c>
      <c r="B521" s="26" t="s">
        <v>128</v>
      </c>
      <c r="C521" s="26" t="s">
        <v>721</v>
      </c>
      <c r="D521" s="26" t="s">
        <v>588</v>
      </c>
      <c r="E521" s="26" t="s">
        <v>122</v>
      </c>
      <c r="F521" s="26" t="s">
        <v>20</v>
      </c>
      <c r="G521" s="27" t="n">
        <v>-3700</v>
      </c>
      <c r="H521" s="28" t="n">
        <v>1.5194</v>
      </c>
      <c r="I521" s="28" t="n">
        <v>5621.78</v>
      </c>
      <c r="J521" s="28" t="n">
        <v>0</v>
      </c>
      <c r="K521" s="28" t="n">
        <v>0</v>
      </c>
      <c r="L521" s="28" t="n">
        <v>0</v>
      </c>
      <c r="M521" s="6" t="s">
        <f>=I521+J521+K521+L521</f>
      </c>
      <c r="N521" s="28"/>
      <c r="O521" s="26"/>
    </row>
    <row collapsed="false" customFormat="false" customHeight="false" hidden="false" ht="12.1" outlineLevel="0" r="522">
      <c r="A522" s="20" t="n">
        <v>45607.752106481</v>
      </c>
      <c r="B522" s="16" t="s">
        <v>128</v>
      </c>
      <c r="C522" s="16" t="s">
        <v>721</v>
      </c>
      <c r="D522" s="16" t="s">
        <v>587</v>
      </c>
      <c r="E522" s="16" t="s">
        <v>122</v>
      </c>
      <c r="F522" s="16" t="s">
        <v>20</v>
      </c>
      <c r="G522" s="7" t="n">
        <v>270</v>
      </c>
      <c r="H522" s="6" t="n">
        <v>1.519519</v>
      </c>
      <c r="I522" s="6" t="n">
        <v>-410.27</v>
      </c>
      <c r="J522" s="6" t="n">
        <v>0</v>
      </c>
      <c r="K522" s="6" t="n">
        <v>0</v>
      </c>
      <c r="L522" s="6" t="n">
        <v>0</v>
      </c>
      <c r="M522" s="6" t="s">
        <f>=I522+J522+K522+L522</f>
      </c>
      <c r="N522" s="6"/>
      <c r="O522" s="16"/>
    </row>
    <row collapsed="false" customFormat="false" customHeight="false" hidden="false" ht="12.1" outlineLevel="0" r="523">
      <c r="A523" s="21" t="n">
        <v>45610</v>
      </c>
      <c r="B523" s="22" t="s">
        <v>785</v>
      </c>
      <c r="C523" s="22" t="s">
        <v>838</v>
      </c>
      <c r="D523" s="22" t="s">
        <v>785</v>
      </c>
      <c r="E523" s="22" t="s">
        <v>785</v>
      </c>
      <c r="F523" s="22" t="s">
        <v>20</v>
      </c>
      <c r="G523" s="23" t="n">
        <v>1</v>
      </c>
      <c r="H523" s="24" t="n">
        <v>500</v>
      </c>
      <c r="I523" s="24" t="n">
        <v>500</v>
      </c>
      <c r="J523" s="24" t="n">
        <v>0</v>
      </c>
      <c r="K523" s="24" t="n">
        <v>0</v>
      </c>
      <c r="L523" s="24" t="n">
        <v>0</v>
      </c>
      <c r="M523" s="6" t="s">
        <f>=I523+J523+K523+L523</f>
      </c>
      <c r="N523" s="24"/>
      <c r="O523" s="22"/>
    </row>
    <row collapsed="false" customFormat="false" customHeight="false" hidden="false" ht="12.1" outlineLevel="0" r="524">
      <c r="A524" s="20" t="n">
        <v>45610.657800926</v>
      </c>
      <c r="B524" s="16" t="s">
        <v>128</v>
      </c>
      <c r="C524" s="16" t="s">
        <v>721</v>
      </c>
      <c r="D524" s="16" t="s">
        <v>587</v>
      </c>
      <c r="E524" s="16" t="s">
        <v>122</v>
      </c>
      <c r="F524" s="16" t="s">
        <v>20</v>
      </c>
      <c r="G524" s="7" t="n">
        <v>325</v>
      </c>
      <c r="H524" s="6" t="n">
        <v>1.5224</v>
      </c>
      <c r="I524" s="6" t="n">
        <v>-494.78</v>
      </c>
      <c r="J524" s="6" t="n">
        <v>0</v>
      </c>
      <c r="K524" s="6" t="n">
        <v>0</v>
      </c>
      <c r="L524" s="6" t="n">
        <v>0</v>
      </c>
      <c r="M524" s="6" t="s">
        <f>=I524+J524+K524+L524</f>
      </c>
      <c r="N524" s="6"/>
      <c r="O524" s="16"/>
    </row>
    <row collapsed="false" customFormat="false" customHeight="false" hidden="false" ht="12.1" outlineLevel="0" r="525">
      <c r="A525" s="21" t="n">
        <v>45621</v>
      </c>
      <c r="B525" s="22" t="s">
        <v>710</v>
      </c>
      <c r="C525" s="22" t="s">
        <v>255</v>
      </c>
      <c r="D525" s="22" t="s">
        <v>710</v>
      </c>
      <c r="E525" s="22" t="s">
        <v>710</v>
      </c>
      <c r="F525" s="22" t="s">
        <v>20</v>
      </c>
      <c r="G525" s="23" t="n">
        <v>1</v>
      </c>
      <c r="H525" s="24" t="n">
        <v>263.47</v>
      </c>
      <c r="I525" s="24" t="n">
        <v>263.47</v>
      </c>
      <c r="J525" s="24" t="n">
        <v>0</v>
      </c>
      <c r="K525" s="24" t="n">
        <v>0</v>
      </c>
      <c r="L525" s="24" t="n">
        <v>0</v>
      </c>
      <c r="M525" s="6" t="s">
        <f>=I525+J525+K525+L525</f>
      </c>
      <c r="N525" s="24"/>
      <c r="O525" s="22"/>
    </row>
    <row collapsed="false" customFormat="false" customHeight="false" hidden="false" ht="12.1" outlineLevel="0" r="526">
      <c r="A526" s="20" t="n">
        <v>45621.762152778</v>
      </c>
      <c r="B526" s="16" t="s">
        <v>28</v>
      </c>
      <c r="C526" s="16" t="s">
        <v>746</v>
      </c>
      <c r="D526" s="16" t="s">
        <v>587</v>
      </c>
      <c r="E526" s="16" t="s">
        <v>18</v>
      </c>
      <c r="F526" s="16" t="s">
        <v>20</v>
      </c>
      <c r="G526" s="7" t="n">
        <v>20</v>
      </c>
      <c r="H526" s="6" t="n">
        <v>230.2</v>
      </c>
      <c r="I526" s="6" t="n">
        <v>-4604</v>
      </c>
      <c r="J526" s="6" t="n">
        <v>0</v>
      </c>
      <c r="K526" s="6" t="n">
        <v>-3.68</v>
      </c>
      <c r="L526" s="6" t="n">
        <v>0</v>
      </c>
      <c r="M526" s="6" t="s">
        <f>=I526+J526+K526+L526</f>
      </c>
      <c r="N526" s="6"/>
      <c r="O526" s="16"/>
    </row>
    <row collapsed="false" customFormat="false" customHeight="false" hidden="false" ht="12.1" outlineLevel="0" r="527">
      <c r="A527" s="25" t="n">
        <v>45621.767384259</v>
      </c>
      <c r="B527" s="26" t="s">
        <v>128</v>
      </c>
      <c r="C527" s="26" t="s">
        <v>721</v>
      </c>
      <c r="D527" s="26" t="s">
        <v>588</v>
      </c>
      <c r="E527" s="26" t="s">
        <v>122</v>
      </c>
      <c r="F527" s="26" t="s">
        <v>20</v>
      </c>
      <c r="G527" s="27" t="n">
        <v>-2850</v>
      </c>
      <c r="H527" s="28" t="n">
        <v>1.531702</v>
      </c>
      <c r="I527" s="28" t="n">
        <v>4365.35</v>
      </c>
      <c r="J527" s="28" t="n">
        <v>0</v>
      </c>
      <c r="K527" s="28" t="n">
        <v>0</v>
      </c>
      <c r="L527" s="28" t="n">
        <v>0</v>
      </c>
      <c r="M527" s="6" t="s">
        <f>=I527+J527+K527+L527</f>
      </c>
      <c r="N527" s="28"/>
      <c r="O527" s="26"/>
    </row>
    <row collapsed="false" customFormat="false" customHeight="false" hidden="false" ht="12.1" outlineLevel="0" r="528">
      <c r="A528" s="21" t="n">
        <v>45622</v>
      </c>
      <c r="B528" s="22" t="s">
        <v>710</v>
      </c>
      <c r="C528" s="22" t="s">
        <v>255</v>
      </c>
      <c r="D528" s="22" t="s">
        <v>710</v>
      </c>
      <c r="E528" s="22" t="s">
        <v>710</v>
      </c>
      <c r="F528" s="22" t="s">
        <v>20</v>
      </c>
      <c r="G528" s="23" t="n">
        <v>1</v>
      </c>
      <c r="H528" s="24" t="n">
        <v>77.44</v>
      </c>
      <c r="I528" s="24" t="n">
        <v>77.44</v>
      </c>
      <c r="J528" s="24" t="n">
        <v>0</v>
      </c>
      <c r="K528" s="24" t="n">
        <v>0</v>
      </c>
      <c r="L528" s="24" t="n">
        <v>0</v>
      </c>
      <c r="M528" s="6" t="s">
        <f>=I528+J528+K528+L528</f>
      </c>
      <c r="N528" s="24"/>
      <c r="O528" s="22"/>
    </row>
    <row collapsed="false" customFormat="false" customHeight="false" hidden="false" ht="12.1" outlineLevel="0" r="529">
      <c r="A529" s="33" t="n">
        <v>45622.623506944</v>
      </c>
      <c r="B529" s="34" t="s">
        <v>750</v>
      </c>
      <c r="C529" s="34" t="s">
        <v>832</v>
      </c>
      <c r="D529" s="34" t="s">
        <v>588</v>
      </c>
      <c r="E529" s="34" t="s">
        <v>752</v>
      </c>
      <c r="F529" s="34" t="s">
        <v>20</v>
      </c>
      <c r="G529" s="35" t="n">
        <v>-500</v>
      </c>
      <c r="H529" s="36" t="n">
        <v>14.4032</v>
      </c>
      <c r="I529" s="36" t="n">
        <v>7201.6</v>
      </c>
      <c r="J529" s="36" t="n">
        <v>0</v>
      </c>
      <c r="K529" s="36" t="n">
        <v>-3.6</v>
      </c>
      <c r="L529" s="36" t="n">
        <v>0</v>
      </c>
      <c r="M529" s="6" t="n">
        <v>-500</v>
      </c>
      <c r="N529" s="36"/>
      <c r="O529" s="34"/>
    </row>
    <row collapsed="false" customFormat="false" customHeight="false" hidden="false" ht="12.1" outlineLevel="0" r="530">
      <c r="A530" s="20" t="n">
        <v>45622.624386574</v>
      </c>
      <c r="B530" s="16" t="s">
        <v>124</v>
      </c>
      <c r="C530" s="16" t="s">
        <v>719</v>
      </c>
      <c r="D530" s="16" t="s">
        <v>587</v>
      </c>
      <c r="E530" s="16" t="s">
        <v>122</v>
      </c>
      <c r="F530" s="16" t="s">
        <v>20</v>
      </c>
      <c r="G530" s="7" t="n">
        <v>60</v>
      </c>
      <c r="H530" s="6" t="n">
        <v>117.85</v>
      </c>
      <c r="I530" s="6" t="n">
        <v>-7071</v>
      </c>
      <c r="J530" s="6" t="n">
        <v>0</v>
      </c>
      <c r="K530" s="6" t="n">
        <v>-2.12</v>
      </c>
      <c r="L530" s="6" t="n">
        <v>0</v>
      </c>
      <c r="M530" s="6" t="s">
        <f>=I530+J530+K530+L530</f>
      </c>
      <c r="N530" s="6"/>
      <c r="O530" s="16"/>
    </row>
    <row collapsed="false" customFormat="false" customHeight="false" hidden="false" ht="12.1" outlineLevel="0" r="531">
      <c r="A531" s="21" t="n">
        <v>45623</v>
      </c>
      <c r="B531" s="22" t="s">
        <v>710</v>
      </c>
      <c r="C531" s="22" t="s">
        <v>255</v>
      </c>
      <c r="D531" s="22" t="s">
        <v>710</v>
      </c>
      <c r="E531" s="22" t="s">
        <v>710</v>
      </c>
      <c r="F531" s="22" t="s">
        <v>20</v>
      </c>
      <c r="G531" s="23" t="n">
        <v>1</v>
      </c>
      <c r="H531" s="24" t="n">
        <v>8400</v>
      </c>
      <c r="I531" s="24" t="n">
        <v>8400</v>
      </c>
      <c r="J531" s="24" t="n">
        <v>0</v>
      </c>
      <c r="K531" s="24" t="n">
        <v>0</v>
      </c>
      <c r="L531" s="24" t="n">
        <v>0</v>
      </c>
      <c r="M531" s="6" t="s">
        <f>=I531+J531+K531+L531</f>
      </c>
      <c r="N531" s="24"/>
      <c r="O531" s="22"/>
    </row>
    <row collapsed="false" customFormat="false" customHeight="false" hidden="false" ht="12.1" outlineLevel="0" r="532">
      <c r="A532" s="20" t="n">
        <v>45623.621539352</v>
      </c>
      <c r="B532" s="16" t="s">
        <v>28</v>
      </c>
      <c r="C532" s="16" t="s">
        <v>746</v>
      </c>
      <c r="D532" s="16" t="s">
        <v>587</v>
      </c>
      <c r="E532" s="16" t="s">
        <v>18</v>
      </c>
      <c r="F532" s="16" t="s">
        <v>20</v>
      </c>
      <c r="G532" s="7" t="n">
        <v>30</v>
      </c>
      <c r="H532" s="6" t="n">
        <v>224.33</v>
      </c>
      <c r="I532" s="6" t="n">
        <v>-6729.9</v>
      </c>
      <c r="J532" s="6" t="n">
        <v>0</v>
      </c>
      <c r="K532" s="6" t="n">
        <v>-5.38</v>
      </c>
      <c r="L532" s="6" t="n">
        <v>0</v>
      </c>
      <c r="M532" s="6" t="s">
        <f>=I532+J532+K532+L532</f>
      </c>
      <c r="N532" s="6"/>
      <c r="O532" s="16"/>
    </row>
    <row collapsed="false" customFormat="false" customHeight="false" hidden="false" ht="12.1" outlineLevel="0" r="533">
      <c r="A533" s="20" t="n">
        <v>45623.623518519</v>
      </c>
      <c r="B533" s="16" t="s">
        <v>17</v>
      </c>
      <c r="C533" s="16" t="s">
        <v>711</v>
      </c>
      <c r="D533" s="16" t="s">
        <v>587</v>
      </c>
      <c r="E533" s="16" t="s">
        <v>18</v>
      </c>
      <c r="F533" s="16" t="s">
        <v>20</v>
      </c>
      <c r="G533" s="7" t="n">
        <v>4</v>
      </c>
      <c r="H533" s="6" t="n">
        <v>467.9</v>
      </c>
      <c r="I533" s="6" t="n">
        <v>-1871.6</v>
      </c>
      <c r="J533" s="6" t="n">
        <v>0</v>
      </c>
      <c r="K533" s="6" t="n">
        <v>-1.5</v>
      </c>
      <c r="L533" s="6" t="n">
        <v>0</v>
      </c>
      <c r="M533" s="6" t="s">
        <f>=I533+J533+K533+L533</f>
      </c>
      <c r="N533" s="6"/>
      <c r="O533" s="16"/>
    </row>
    <row collapsed="false" customFormat="false" customHeight="false" hidden="false" ht="12.1" outlineLevel="0" r="534">
      <c r="A534" s="21" t="n">
        <v>45628</v>
      </c>
      <c r="B534" s="22" t="s">
        <v>785</v>
      </c>
      <c r="C534" s="22" t="s">
        <v>816</v>
      </c>
      <c r="D534" s="22" t="s">
        <v>785</v>
      </c>
      <c r="E534" s="22" t="s">
        <v>785</v>
      </c>
      <c r="F534" s="22" t="s">
        <v>20</v>
      </c>
      <c r="G534" s="23" t="n">
        <v>2</v>
      </c>
      <c r="H534" s="24" t="n">
        <v>341.17</v>
      </c>
      <c r="I534" s="24" t="n">
        <v>682.34</v>
      </c>
      <c r="J534" s="24" t="n">
        <v>0</v>
      </c>
      <c r="K534" s="24" t="n">
        <v>0</v>
      </c>
      <c r="L534" s="24" t="n">
        <v>0</v>
      </c>
      <c r="M534" s="6" t="s">
        <f>=I534+J534+K534+L534</f>
      </c>
      <c r="N534" s="24"/>
      <c r="O534" s="22"/>
    </row>
    <row collapsed="false" customFormat="false" customHeight="false" hidden="false" ht="12.1" outlineLevel="0" r="535">
      <c r="A535" s="20" t="n">
        <v>45628.694224537</v>
      </c>
      <c r="B535" s="16" t="s">
        <v>128</v>
      </c>
      <c r="C535" s="16" t="s">
        <v>721</v>
      </c>
      <c r="D535" s="16" t="s">
        <v>587</v>
      </c>
      <c r="E535" s="16" t="s">
        <v>122</v>
      </c>
      <c r="F535" s="16" t="s">
        <v>20</v>
      </c>
      <c r="G535" s="7" t="n">
        <v>250</v>
      </c>
      <c r="H535" s="6" t="n">
        <v>1.53772</v>
      </c>
      <c r="I535" s="6" t="n">
        <v>-384.43</v>
      </c>
      <c r="J535" s="6" t="n">
        <v>0</v>
      </c>
      <c r="K535" s="6" t="n">
        <v>0</v>
      </c>
      <c r="L535" s="6" t="n">
        <v>0</v>
      </c>
      <c r="M535" s="6" t="s">
        <f>=I535+J535+K535+L535</f>
      </c>
      <c r="N535" s="6"/>
      <c r="O535" s="16"/>
    </row>
    <row collapsed="false" customFormat="false" customHeight="false" hidden="false" ht="12.1" outlineLevel="0" r="536">
      <c r="A536" s="20" t="n">
        <v>45628.763206019</v>
      </c>
      <c r="B536" s="16" t="s">
        <v>121</v>
      </c>
      <c r="C536" s="16" t="s">
        <v>774</v>
      </c>
      <c r="D536" s="16" t="s">
        <v>587</v>
      </c>
      <c r="E536" s="16" t="s">
        <v>122</v>
      </c>
      <c r="F536" s="16" t="s">
        <v>20</v>
      </c>
      <c r="G536" s="7" t="n">
        <v>2</v>
      </c>
      <c r="H536" s="6" t="n">
        <v>141.6</v>
      </c>
      <c r="I536" s="6" t="n">
        <v>-283.2</v>
      </c>
      <c r="J536" s="6" t="n">
        <v>0</v>
      </c>
      <c r="K536" s="6" t="n">
        <v>-0.09</v>
      </c>
      <c r="L536" s="6" t="n">
        <v>0</v>
      </c>
      <c r="M536" s="6" t="s">
        <f>=I536+J536+K536+L536</f>
      </c>
      <c r="N536" s="6"/>
      <c r="O536" s="16"/>
    </row>
    <row collapsed="false" customFormat="false" customHeight="false" hidden="false" ht="12.1" outlineLevel="0" r="537">
      <c r="A537" s="21" t="n">
        <v>45635</v>
      </c>
      <c r="B537" s="22" t="s">
        <v>785</v>
      </c>
      <c r="C537" s="22" t="s">
        <v>839</v>
      </c>
      <c r="D537" s="22" t="s">
        <v>785</v>
      </c>
      <c r="E537" s="22" t="s">
        <v>785</v>
      </c>
      <c r="F537" s="22" t="s">
        <v>20</v>
      </c>
      <c r="G537" s="23" t="n">
        <v>1</v>
      </c>
      <c r="H537" s="24" t="n">
        <v>3000</v>
      </c>
      <c r="I537" s="24" t="n">
        <v>3000</v>
      </c>
      <c r="J537" s="24" t="n">
        <v>0</v>
      </c>
      <c r="K537" s="24" t="n">
        <v>0</v>
      </c>
      <c r="L537" s="24" t="n">
        <v>0</v>
      </c>
      <c r="M537" s="6" t="s">
        <f>=I537+J537+K537+L537</f>
      </c>
      <c r="N537" s="24"/>
      <c r="O537" s="22"/>
    </row>
    <row collapsed="false" customFormat="false" customHeight="false" hidden="false" ht="12.1" outlineLevel="0" r="538">
      <c r="A538" s="20" t="n">
        <v>45635.776967593</v>
      </c>
      <c r="B538" s="16" t="s">
        <v>126</v>
      </c>
      <c r="C538" s="16" t="s">
        <v>776</v>
      </c>
      <c r="D538" s="16" t="s">
        <v>587</v>
      </c>
      <c r="E538" s="16" t="s">
        <v>122</v>
      </c>
      <c r="F538" s="16" t="s">
        <v>20</v>
      </c>
      <c r="G538" s="7" t="n">
        <v>18</v>
      </c>
      <c r="H538" s="6" t="n">
        <v>159.5</v>
      </c>
      <c r="I538" s="6" t="n">
        <v>-2871</v>
      </c>
      <c r="J538" s="6" t="n">
        <v>0</v>
      </c>
      <c r="K538" s="6" t="n">
        <v>0</v>
      </c>
      <c r="L538" s="6" t="n">
        <v>0</v>
      </c>
      <c r="M538" s="6" t="s">
        <f>=I538+J538+K538+L538</f>
      </c>
      <c r="N538" s="6"/>
      <c r="O538" s="16"/>
    </row>
    <row collapsed="false" customFormat="false" customHeight="false" hidden="false" ht="12.1" outlineLevel="0" r="539">
      <c r="A539" s="21" t="n">
        <v>45636</v>
      </c>
      <c r="B539" s="22" t="s">
        <v>785</v>
      </c>
      <c r="C539" s="22" t="s">
        <v>836</v>
      </c>
      <c r="D539" s="22" t="s">
        <v>785</v>
      </c>
      <c r="E539" s="22" t="s">
        <v>785</v>
      </c>
      <c r="F539" s="22" t="s">
        <v>20</v>
      </c>
      <c r="G539" s="23" t="n">
        <v>1</v>
      </c>
      <c r="H539" s="24" t="n">
        <v>400</v>
      </c>
      <c r="I539" s="24" t="n">
        <v>400</v>
      </c>
      <c r="J539" s="24" t="n">
        <v>0</v>
      </c>
      <c r="K539" s="24" t="n">
        <v>0</v>
      </c>
      <c r="L539" s="24" t="n">
        <v>0</v>
      </c>
      <c r="M539" s="6" t="s">
        <f>=I539+J539+K539+L539</f>
      </c>
      <c r="N539" s="24"/>
      <c r="O539" s="22"/>
    </row>
    <row collapsed="false" customFormat="false" customHeight="false" hidden="false" ht="12.1" outlineLevel="0" r="540">
      <c r="A540" s="20" t="n">
        <v>45636.721516204</v>
      </c>
      <c r="B540" s="16" t="s">
        <v>124</v>
      </c>
      <c r="C540" s="16" t="s">
        <v>719</v>
      </c>
      <c r="D540" s="16" t="s">
        <v>587</v>
      </c>
      <c r="E540" s="16" t="s">
        <v>122</v>
      </c>
      <c r="F540" s="16" t="s">
        <v>20</v>
      </c>
      <c r="G540" s="7" t="n">
        <v>4</v>
      </c>
      <c r="H540" s="6" t="n">
        <v>119.85</v>
      </c>
      <c r="I540" s="6" t="n">
        <v>-479.4</v>
      </c>
      <c r="J540" s="6" t="n">
        <v>0</v>
      </c>
      <c r="K540" s="6" t="n">
        <v>-0.14</v>
      </c>
      <c r="L540" s="6" t="n">
        <v>0</v>
      </c>
      <c r="M540" s="6" t="s">
        <f>=I540+J540+K540+L540</f>
      </c>
      <c r="N540" s="6"/>
      <c r="O540" s="16"/>
    </row>
    <row collapsed="false" customFormat="false" customHeight="false" hidden="false" ht="12.1" outlineLevel="0" r="541">
      <c r="A541" s="20" t="n">
        <v>45636.722303241</v>
      </c>
      <c r="B541" s="16" t="s">
        <v>128</v>
      </c>
      <c r="C541" s="16" t="s">
        <v>721</v>
      </c>
      <c r="D541" s="16" t="s">
        <v>587</v>
      </c>
      <c r="E541" s="16" t="s">
        <v>122</v>
      </c>
      <c r="F541" s="16" t="s">
        <v>20</v>
      </c>
      <c r="G541" s="7" t="n">
        <v>55</v>
      </c>
      <c r="H541" s="6" t="n">
        <v>1.544727</v>
      </c>
      <c r="I541" s="6" t="n">
        <v>-84.96</v>
      </c>
      <c r="J541" s="6" t="n">
        <v>0</v>
      </c>
      <c r="K541" s="6" t="n">
        <v>0</v>
      </c>
      <c r="L541" s="6" t="n">
        <v>0</v>
      </c>
      <c r="M541" s="6" t="s">
        <f>=I541+J541+K541+L541</f>
      </c>
      <c r="N541" s="6"/>
      <c r="O541" s="16"/>
    </row>
    <row collapsed="false" customFormat="false" customHeight="false" hidden="false" ht="12.1" outlineLevel="0" r="542">
      <c r="A542" s="21" t="n">
        <v>45637</v>
      </c>
      <c r="B542" s="22" t="s">
        <v>785</v>
      </c>
      <c r="C542" s="22" t="s">
        <v>840</v>
      </c>
      <c r="D542" s="22" t="s">
        <v>785</v>
      </c>
      <c r="E542" s="22" t="s">
        <v>785</v>
      </c>
      <c r="F542" s="22" t="s">
        <v>20</v>
      </c>
      <c r="G542" s="23" t="n">
        <v>1</v>
      </c>
      <c r="H542" s="24" t="n">
        <v>16.56</v>
      </c>
      <c r="I542" s="24" t="n">
        <v>16.56</v>
      </c>
      <c r="J542" s="24" t="n">
        <v>0</v>
      </c>
      <c r="K542" s="24" t="n">
        <v>0</v>
      </c>
      <c r="L542" s="24" t="n">
        <v>0</v>
      </c>
      <c r="M542" s="6" t="s">
        <f>=I542+J542+K542+L542</f>
      </c>
      <c r="N542" s="24"/>
      <c r="O542" s="22"/>
    </row>
    <row collapsed="false" customFormat="false" customHeight="false" hidden="false" ht="12.1" outlineLevel="0" r="543">
      <c r="A543" s="21" t="n">
        <v>45667</v>
      </c>
      <c r="B543" s="22" t="s">
        <v>785</v>
      </c>
      <c r="C543" s="22" t="s">
        <v>841</v>
      </c>
      <c r="D543" s="22" t="s">
        <v>785</v>
      </c>
      <c r="E543" s="22" t="s">
        <v>785</v>
      </c>
      <c r="F543" s="22" t="s">
        <v>20</v>
      </c>
      <c r="G543" s="23" t="n">
        <v>2</v>
      </c>
      <c r="H543" s="24" t="n">
        <v>345.38</v>
      </c>
      <c r="I543" s="24" t="n">
        <v>690.76</v>
      </c>
      <c r="J543" s="24" t="n">
        <v>0</v>
      </c>
      <c r="K543" s="24" t="n">
        <v>0</v>
      </c>
      <c r="L543" s="24" t="n">
        <v>0</v>
      </c>
      <c r="M543" s="6" t="s">
        <f>=I543+J543+K543+L543</f>
      </c>
      <c r="N543" s="24"/>
      <c r="O543" s="22"/>
    </row>
    <row collapsed="false" customFormat="false" customHeight="false" hidden="false" ht="12.1" outlineLevel="0" r="544">
      <c r="A544" s="21" t="n">
        <v>45670</v>
      </c>
      <c r="B544" s="22" t="s">
        <v>785</v>
      </c>
      <c r="C544" s="22" t="s">
        <v>836</v>
      </c>
      <c r="D544" s="22" t="s">
        <v>785</v>
      </c>
      <c r="E544" s="22" t="s">
        <v>785</v>
      </c>
      <c r="F544" s="22" t="s">
        <v>20</v>
      </c>
      <c r="G544" s="23" t="n">
        <v>2</v>
      </c>
      <c r="H544" s="24" t="n">
        <v>1200</v>
      </c>
      <c r="I544" s="24" t="n">
        <v>2400</v>
      </c>
      <c r="J544" s="24" t="n">
        <v>0</v>
      </c>
      <c r="K544" s="24" t="n">
        <v>0</v>
      </c>
      <c r="L544" s="24" t="n">
        <v>0</v>
      </c>
      <c r="M544" s="6" t="s">
        <f>=I544+J544+K544+L544</f>
      </c>
      <c r="N544" s="24"/>
      <c r="O544" s="22"/>
    </row>
    <row collapsed="false" customFormat="false" customHeight="false" hidden="false" ht="12.1" outlineLevel="0" r="545">
      <c r="A545" s="20" t="n">
        <v>45670.461458333</v>
      </c>
      <c r="B545" s="16" t="s">
        <v>128</v>
      </c>
      <c r="C545" s="16" t="s">
        <v>721</v>
      </c>
      <c r="D545" s="16" t="s">
        <v>587</v>
      </c>
      <c r="E545" s="16" t="s">
        <v>122</v>
      </c>
      <c r="F545" s="16" t="s">
        <v>20</v>
      </c>
      <c r="G545" s="7" t="n">
        <v>1960</v>
      </c>
      <c r="H545" s="6" t="n">
        <v>1.5742958163265</v>
      </c>
      <c r="I545" s="6" t="n">
        <v>-3085.62</v>
      </c>
      <c r="J545" s="6" t="n">
        <v>0</v>
      </c>
      <c r="K545" s="6" t="n">
        <v>0</v>
      </c>
      <c r="L545" s="6" t="n">
        <v>0</v>
      </c>
      <c r="M545" s="6" t="s">
        <f>=I545+J545+K545+L545</f>
      </c>
      <c r="N545" s="6"/>
      <c r="O545" s="16"/>
    </row>
    <row collapsed="false" customFormat="false" customHeight="false" hidden="false" ht="12.1" outlineLevel="0" r="546">
      <c r="A546" s="20" t="n">
        <v>45685.482546296</v>
      </c>
      <c r="B546" s="16" t="s">
        <v>616</v>
      </c>
      <c r="C546" s="16" t="s">
        <v>842</v>
      </c>
      <c r="D546" s="16" t="s">
        <v>587</v>
      </c>
      <c r="E546" s="16" t="s">
        <v>18</v>
      </c>
      <c r="F546" s="16" t="s">
        <v>20</v>
      </c>
      <c r="G546" s="7" t="n">
        <v>1</v>
      </c>
      <c r="H546" s="6" t="n">
        <v>3969.5</v>
      </c>
      <c r="I546" s="6" t="n">
        <v>-3969.5</v>
      </c>
      <c r="J546" s="6" t="n">
        <v>0</v>
      </c>
      <c r="K546" s="6" t="n">
        <v>-3.17</v>
      </c>
      <c r="L546" s="6" t="n">
        <v>0</v>
      </c>
      <c r="M546" s="6" t="s">
        <f>=I546+J546+K546+L546</f>
      </c>
      <c r="N546" s="6"/>
      <c r="O546" s="16"/>
    </row>
    <row collapsed="false" customFormat="false" customHeight="false" hidden="false" ht="12.1" outlineLevel="0" r="547">
      <c r="A547" s="25" t="n">
        <v>45685.485497685</v>
      </c>
      <c r="B547" s="26" t="s">
        <v>128</v>
      </c>
      <c r="C547" s="26" t="s">
        <v>721</v>
      </c>
      <c r="D547" s="26" t="s">
        <v>588</v>
      </c>
      <c r="E547" s="26" t="s">
        <v>122</v>
      </c>
      <c r="F547" s="26" t="s">
        <v>20</v>
      </c>
      <c r="G547" s="27" t="n">
        <v>-2490</v>
      </c>
      <c r="H547" s="28" t="n">
        <v>1.587301</v>
      </c>
      <c r="I547" s="28" t="n">
        <v>3952.38</v>
      </c>
      <c r="J547" s="28" t="n">
        <v>0</v>
      </c>
      <c r="K547" s="28" t="n">
        <v>0</v>
      </c>
      <c r="L547" s="28" t="n">
        <v>0</v>
      </c>
      <c r="M547" s="6" t="s">
        <f>=I547+J547+K547+L547</f>
      </c>
      <c r="N547" s="28"/>
      <c r="O547" s="26"/>
    </row>
    <row collapsed="false" customFormat="false" customHeight="false" hidden="false" ht="12.1" outlineLevel="0" r="548">
      <c r="A548" s="21" t="n">
        <v>45691</v>
      </c>
      <c r="B548" s="22" t="s">
        <v>785</v>
      </c>
      <c r="C548" s="22" t="s">
        <v>843</v>
      </c>
      <c r="D548" s="22" t="s">
        <v>785</v>
      </c>
      <c r="E548" s="22" t="s">
        <v>785</v>
      </c>
      <c r="F548" s="22" t="s">
        <v>20</v>
      </c>
      <c r="G548" s="23" t="n">
        <v>2</v>
      </c>
      <c r="H548" s="24" t="n">
        <v>313.795</v>
      </c>
      <c r="I548" s="24" t="n">
        <v>627.59</v>
      </c>
      <c r="J548" s="24" t="n">
        <v>0</v>
      </c>
      <c r="K548" s="24" t="n">
        <v>0</v>
      </c>
      <c r="L548" s="24" t="n">
        <v>0</v>
      </c>
      <c r="M548" s="6" t="s">
        <f>=I548+J548+K548+L548</f>
      </c>
      <c r="N548" s="24"/>
      <c r="O548" s="22"/>
    </row>
    <row collapsed="false" customFormat="false" customHeight="false" hidden="false" ht="12.1" outlineLevel="0" r="549">
      <c r="A549" s="20" t="n">
        <v>45691.744398148</v>
      </c>
      <c r="B549" s="16" t="s">
        <v>128</v>
      </c>
      <c r="C549" s="16" t="s">
        <v>721</v>
      </c>
      <c r="D549" s="16" t="s">
        <v>587</v>
      </c>
      <c r="E549" s="16" t="s">
        <v>122</v>
      </c>
      <c r="F549" s="16" t="s">
        <v>20</v>
      </c>
      <c r="G549" s="7" t="n">
        <v>392</v>
      </c>
      <c r="H549" s="6" t="n">
        <v>1.592602</v>
      </c>
      <c r="I549" s="6" t="n">
        <v>-624.3</v>
      </c>
      <c r="J549" s="6" t="n">
        <v>0</v>
      </c>
      <c r="K549" s="6" t="n">
        <v>0</v>
      </c>
      <c r="L549" s="6" t="n">
        <v>0</v>
      </c>
      <c r="M549" s="6" t="s">
        <f>=I549+J549+K549+L549</f>
      </c>
      <c r="N549" s="6"/>
      <c r="O549" s="16"/>
    </row>
    <row collapsed="false" customFormat="false" customHeight="false" hidden="false" ht="12.1" outlineLevel="0" r="550">
      <c r="A550" s="25" t="n">
        <v>45695.473842593</v>
      </c>
      <c r="B550" s="26" t="s">
        <v>616</v>
      </c>
      <c r="C550" s="26" t="s">
        <v>842</v>
      </c>
      <c r="D550" s="26" t="s">
        <v>588</v>
      </c>
      <c r="E550" s="26" t="s">
        <v>18</v>
      </c>
      <c r="F550" s="26" t="s">
        <v>20</v>
      </c>
      <c r="G550" s="27" t="n">
        <v>-1</v>
      </c>
      <c r="H550" s="28" t="n">
        <v>4233.5</v>
      </c>
      <c r="I550" s="28" t="n">
        <v>4233.5</v>
      </c>
      <c r="J550" s="28" t="n">
        <v>0</v>
      </c>
      <c r="K550" s="28" t="n">
        <v>-3.39</v>
      </c>
      <c r="L550" s="28" t="n">
        <v>0</v>
      </c>
      <c r="M550" s="6" t="s">
        <f>=I550+J550+K550+L550</f>
      </c>
      <c r="N550" s="28"/>
      <c r="O550" s="26"/>
    </row>
    <row collapsed="false" customFormat="false" customHeight="false" hidden="false" ht="12.1" outlineLevel="0" r="551">
      <c r="A551" s="20" t="n">
        <v>45695.480636574</v>
      </c>
      <c r="B551" s="16" t="s">
        <v>617</v>
      </c>
      <c r="C551" s="16" t="s">
        <v>844</v>
      </c>
      <c r="D551" s="16" t="s">
        <v>587</v>
      </c>
      <c r="E551" s="16" t="s">
        <v>18</v>
      </c>
      <c r="F551" s="16" t="s">
        <v>20</v>
      </c>
      <c r="G551" s="7" t="n">
        <v>10</v>
      </c>
      <c r="H551" s="6" t="n">
        <v>64.07</v>
      </c>
      <c r="I551" s="6" t="n">
        <v>-640.7</v>
      </c>
      <c r="J551" s="6" t="n">
        <v>0</v>
      </c>
      <c r="K551" s="6" t="n">
        <v>-0.51</v>
      </c>
      <c r="L551" s="6" t="n">
        <v>0</v>
      </c>
      <c r="M551" s="6" t="s">
        <f>=I551+J551+K551+L551</f>
      </c>
      <c r="N551" s="6"/>
      <c r="O551" s="16"/>
    </row>
    <row collapsed="false" customFormat="false" customHeight="false" hidden="false" ht="12.1" outlineLevel="0" r="552">
      <c r="A552" s="20" t="n">
        <v>45695.482546296</v>
      </c>
      <c r="B552" s="16" t="s">
        <v>128</v>
      </c>
      <c r="C552" s="16" t="s">
        <v>721</v>
      </c>
      <c r="D552" s="16" t="s">
        <v>587</v>
      </c>
      <c r="E552" s="16" t="s">
        <v>122</v>
      </c>
      <c r="F552" s="16" t="s">
        <v>20</v>
      </c>
      <c r="G552" s="7" t="n">
        <v>2240</v>
      </c>
      <c r="H552" s="6" t="n">
        <v>1.597701</v>
      </c>
      <c r="I552" s="6" t="n">
        <v>-3578.85</v>
      </c>
      <c r="J552" s="6" t="n">
        <v>0</v>
      </c>
      <c r="K552" s="6" t="n">
        <v>0</v>
      </c>
      <c r="L552" s="6" t="n">
        <v>0</v>
      </c>
      <c r="M552" s="6" t="s">
        <f>=I552+J552+K552+L552</f>
      </c>
      <c r="N552" s="6"/>
      <c r="O552" s="16"/>
    </row>
    <row collapsed="false" customFormat="false" customHeight="false" hidden="false" ht="12.1" outlineLevel="0" r="553">
      <c r="A553" s="20" t="n">
        <v>45695.583113426</v>
      </c>
      <c r="B553" s="16" t="s">
        <v>126</v>
      </c>
      <c r="C553" s="16" t="s">
        <v>776</v>
      </c>
      <c r="D553" s="16" t="s">
        <v>587</v>
      </c>
      <c r="E553" s="16" t="s">
        <v>122</v>
      </c>
      <c r="F553" s="16" t="s">
        <v>20</v>
      </c>
      <c r="G553" s="7" t="n">
        <v>42</v>
      </c>
      <c r="H553" s="6" t="n">
        <v>148.21428571429</v>
      </c>
      <c r="I553" s="6" t="n">
        <v>-6225</v>
      </c>
      <c r="J553" s="6" t="n">
        <v>0</v>
      </c>
      <c r="K553" s="6" t="n">
        <v>0</v>
      </c>
      <c r="L553" s="6" t="n">
        <v>0</v>
      </c>
      <c r="M553" s="6" t="s">
        <f>=I553+J553+K553+L553</f>
      </c>
      <c r="N553" s="6"/>
      <c r="O553" s="16"/>
    </row>
    <row collapsed="false" customFormat="false" customHeight="false" hidden="false" ht="12.1" outlineLevel="0" r="554">
      <c r="A554" s="25" t="n">
        <v>45695.89775463</v>
      </c>
      <c r="B554" s="26" t="s">
        <v>128</v>
      </c>
      <c r="C554" s="26" t="s">
        <v>721</v>
      </c>
      <c r="D554" s="26" t="s">
        <v>588</v>
      </c>
      <c r="E554" s="26" t="s">
        <v>122</v>
      </c>
      <c r="F554" s="26" t="s">
        <v>20</v>
      </c>
      <c r="G554" s="27" t="n">
        <v>-3900</v>
      </c>
      <c r="H554" s="28" t="n">
        <v>1.5976</v>
      </c>
      <c r="I554" s="28" t="n">
        <v>6230.64</v>
      </c>
      <c r="J554" s="28" t="n">
        <v>0</v>
      </c>
      <c r="K554" s="28" t="n">
        <v>0</v>
      </c>
      <c r="L554" s="28" t="n">
        <v>0</v>
      </c>
      <c r="M554" s="6" t="s">
        <f>=I554+J554+K554+L554</f>
      </c>
      <c r="N554" s="28"/>
      <c r="O554" s="26"/>
    </row>
    <row collapsed="false" customFormat="false" customHeight="false" hidden="false" ht="12.1" outlineLevel="0" r="555">
      <c r="A555" s="21" t="n">
        <v>45698</v>
      </c>
      <c r="B555" s="22" t="s">
        <v>785</v>
      </c>
      <c r="C555" s="22" t="s">
        <v>836</v>
      </c>
      <c r="D555" s="22" t="s">
        <v>785</v>
      </c>
      <c r="E555" s="22" t="s">
        <v>785</v>
      </c>
      <c r="F555" s="22" t="s">
        <v>20</v>
      </c>
      <c r="G555" s="23" t="n">
        <v>1</v>
      </c>
      <c r="H555" s="24" t="n">
        <v>400</v>
      </c>
      <c r="I555" s="24" t="n">
        <v>400</v>
      </c>
      <c r="J555" s="24" t="n">
        <v>0</v>
      </c>
      <c r="K555" s="24" t="n">
        <v>0</v>
      </c>
      <c r="L555" s="24" t="n">
        <v>0</v>
      </c>
      <c r="M555" s="6" t="s">
        <f>=I555+J555+K555+L555</f>
      </c>
      <c r="N555" s="24"/>
      <c r="O555" s="22"/>
    </row>
    <row collapsed="false" customFormat="false" customHeight="false" hidden="false" ht="12.1" outlineLevel="0" r="556">
      <c r="A556" s="20" t="n">
        <v>45698.704618056</v>
      </c>
      <c r="B556" s="16" t="s">
        <v>126</v>
      </c>
      <c r="C556" s="16" t="s">
        <v>776</v>
      </c>
      <c r="D556" s="16" t="s">
        <v>587</v>
      </c>
      <c r="E556" s="16" t="s">
        <v>122</v>
      </c>
      <c r="F556" s="16" t="s">
        <v>20</v>
      </c>
      <c r="G556" s="7" t="n">
        <v>2</v>
      </c>
      <c r="H556" s="6" t="n">
        <v>148.72</v>
      </c>
      <c r="I556" s="6" t="n">
        <v>-297.44</v>
      </c>
      <c r="J556" s="6" t="n">
        <v>0</v>
      </c>
      <c r="K556" s="6" t="n">
        <v>0</v>
      </c>
      <c r="L556" s="6" t="n">
        <v>0</v>
      </c>
      <c r="M556" s="6" t="s">
        <f>=I556+J556+K556+L556</f>
      </c>
      <c r="N556" s="6"/>
      <c r="O556" s="16"/>
    </row>
    <row collapsed="false" customFormat="false" customHeight="false" hidden="false" ht="12.1" outlineLevel="0" r="557">
      <c r="A557" s="20" t="n">
        <v>45698.705289352</v>
      </c>
      <c r="B557" s="16" t="s">
        <v>128</v>
      </c>
      <c r="C557" s="16" t="s">
        <v>721</v>
      </c>
      <c r="D557" s="16" t="s">
        <v>587</v>
      </c>
      <c r="E557" s="16" t="s">
        <v>122</v>
      </c>
      <c r="F557" s="16" t="s">
        <v>20</v>
      </c>
      <c r="G557" s="7" t="n">
        <v>75</v>
      </c>
      <c r="H557" s="6" t="n">
        <v>1.598667</v>
      </c>
      <c r="I557" s="6" t="n">
        <v>-119.9</v>
      </c>
      <c r="J557" s="6" t="n">
        <v>0</v>
      </c>
      <c r="K557" s="6" t="n">
        <v>0</v>
      </c>
      <c r="L557" s="6" t="n">
        <v>0</v>
      </c>
      <c r="M557" s="6" t="s">
        <f>=I557+J557+K557+L557</f>
      </c>
      <c r="N557" s="6"/>
      <c r="O557" s="16"/>
    </row>
    <row collapsed="false" customFormat="false" customHeight="false" hidden="false" ht="12.1" outlineLevel="0" r="558">
      <c r="A558" s="25" t="n">
        <v>45700.856875</v>
      </c>
      <c r="B558" s="26" t="s">
        <v>617</v>
      </c>
      <c r="C558" s="26" t="s">
        <v>844</v>
      </c>
      <c r="D558" s="26" t="s">
        <v>588</v>
      </c>
      <c r="E558" s="26" t="s">
        <v>18</v>
      </c>
      <c r="F558" s="26" t="s">
        <v>20</v>
      </c>
      <c r="G558" s="27" t="n">
        <v>-10</v>
      </c>
      <c r="H558" s="28" t="n">
        <v>66.78</v>
      </c>
      <c r="I558" s="28" t="n">
        <v>667.8</v>
      </c>
      <c r="J558" s="28" t="n">
        <v>0</v>
      </c>
      <c r="K558" s="28" t="n">
        <v>-0.33</v>
      </c>
      <c r="L558" s="28" t="n">
        <v>0</v>
      </c>
      <c r="M558" s="6" t="s">
        <f>=I558+J558+K558+L558</f>
      </c>
      <c r="N558" s="28"/>
      <c r="O558" s="26"/>
    </row>
    <row collapsed="false" customFormat="false" customHeight="false" hidden="false" ht="12.1" outlineLevel="0" r="559">
      <c r="A559" s="20" t="n">
        <v>45700.945659722</v>
      </c>
      <c r="B559" s="16" t="s">
        <v>128</v>
      </c>
      <c r="C559" s="16" t="s">
        <v>721</v>
      </c>
      <c r="D559" s="16" t="s">
        <v>587</v>
      </c>
      <c r="E559" s="16" t="s">
        <v>122</v>
      </c>
      <c r="F559" s="16" t="s">
        <v>20</v>
      </c>
      <c r="G559" s="7" t="n">
        <v>410</v>
      </c>
      <c r="H559" s="6" t="n">
        <v>1.600512</v>
      </c>
      <c r="I559" s="6" t="n">
        <v>-656.21</v>
      </c>
      <c r="J559" s="6" t="n">
        <v>0</v>
      </c>
      <c r="K559" s="6" t="n">
        <v>0</v>
      </c>
      <c r="L559" s="6" t="n">
        <v>0</v>
      </c>
      <c r="M559" s="6" t="s">
        <f>=I559+J559+K559+L559</f>
      </c>
      <c r="N559" s="6"/>
      <c r="O559" s="16"/>
    </row>
    <row collapsed="false" customFormat="false" customHeight="false" hidden="false" ht="12.1" outlineLevel="0" r="560">
      <c r="A560" s="21" t="n">
        <v>45701</v>
      </c>
      <c r="B560" s="22" t="s">
        <v>785</v>
      </c>
      <c r="C560" s="22" t="s">
        <v>838</v>
      </c>
      <c r="D560" s="22" t="s">
        <v>785</v>
      </c>
      <c r="E560" s="22" t="s">
        <v>785</v>
      </c>
      <c r="F560" s="22" t="s">
        <v>20</v>
      </c>
      <c r="G560" s="23" t="n">
        <v>1</v>
      </c>
      <c r="H560" s="24" t="n">
        <v>500</v>
      </c>
      <c r="I560" s="24" t="n">
        <v>500</v>
      </c>
      <c r="J560" s="24" t="n">
        <v>0</v>
      </c>
      <c r="K560" s="24" t="n">
        <v>0</v>
      </c>
      <c r="L560" s="24" t="n">
        <v>0</v>
      </c>
      <c r="M560" s="6" t="s">
        <f>=I560+J560+K560+L560</f>
      </c>
      <c r="N560" s="24"/>
      <c r="O560" s="22"/>
    </row>
    <row collapsed="false" customFormat="false" customHeight="false" hidden="false" ht="12.1" outlineLevel="0" r="561">
      <c r="A561" s="20" t="n">
        <v>45701.728923611</v>
      </c>
      <c r="B561" s="16" t="s">
        <v>121</v>
      </c>
      <c r="C561" s="16" t="s">
        <v>774</v>
      </c>
      <c r="D561" s="16" t="s">
        <v>587</v>
      </c>
      <c r="E561" s="16" t="s">
        <v>122</v>
      </c>
      <c r="F561" s="16" t="s">
        <v>20</v>
      </c>
      <c r="G561" s="7" t="n">
        <v>3</v>
      </c>
      <c r="H561" s="6" t="n">
        <v>154.38</v>
      </c>
      <c r="I561" s="6" t="n">
        <v>-463.14</v>
      </c>
      <c r="J561" s="6" t="n">
        <v>0</v>
      </c>
      <c r="K561" s="6" t="n">
        <v>-0.14</v>
      </c>
      <c r="L561" s="6" t="n">
        <v>0</v>
      </c>
      <c r="M561" s="6" t="s">
        <f>=I561+J561+K561+L561</f>
      </c>
      <c r="N561" s="6"/>
      <c r="O561" s="16"/>
    </row>
    <row collapsed="false" customFormat="false" customHeight="false" hidden="false" ht="12.1" outlineLevel="0" r="562">
      <c r="A562" s="20" t="n">
        <v>45701.845127315</v>
      </c>
      <c r="B562" s="16" t="s">
        <v>128</v>
      </c>
      <c r="C562" s="16" t="s">
        <v>721</v>
      </c>
      <c r="D562" s="16" t="s">
        <v>587</v>
      </c>
      <c r="E562" s="16" t="s">
        <v>122</v>
      </c>
      <c r="F562" s="16" t="s">
        <v>20</v>
      </c>
      <c r="G562" s="7" t="n">
        <v>30</v>
      </c>
      <c r="H562" s="6" t="n">
        <v>1.601333</v>
      </c>
      <c r="I562" s="6" t="n">
        <v>-48.04</v>
      </c>
      <c r="J562" s="6" t="n">
        <v>0</v>
      </c>
      <c r="K562" s="6" t="n">
        <v>0</v>
      </c>
      <c r="L562" s="6" t="n">
        <v>0</v>
      </c>
      <c r="M562" s="6" t="s">
        <f>=I562+J562+K562+L562</f>
      </c>
      <c r="N562" s="6"/>
      <c r="O562" s="16"/>
    </row>
    <row collapsed="false" customFormat="false" customHeight="false" hidden="false" ht="12.1" outlineLevel="0" r="563">
      <c r="A563" s="21" t="n">
        <v>45721</v>
      </c>
      <c r="B563" s="22" t="s">
        <v>785</v>
      </c>
      <c r="C563" s="22" t="s">
        <v>845</v>
      </c>
      <c r="D563" s="22" t="s">
        <v>785</v>
      </c>
      <c r="E563" s="22" t="s">
        <v>785</v>
      </c>
      <c r="F563" s="22" t="s">
        <v>20</v>
      </c>
      <c r="G563" s="23" t="n">
        <v>2</v>
      </c>
      <c r="H563" s="24" t="n">
        <v>290.045</v>
      </c>
      <c r="I563" s="24" t="n">
        <v>580.09</v>
      </c>
      <c r="J563" s="24" t="n">
        <v>0</v>
      </c>
      <c r="K563" s="24" t="n">
        <v>0</v>
      </c>
      <c r="L563" s="24" t="n">
        <v>0</v>
      </c>
      <c r="M563" s="6" t="s">
        <f>=I563+J563+K563+L563</f>
      </c>
      <c r="N563" s="24"/>
      <c r="O563" s="22"/>
    </row>
    <row collapsed="false" customFormat="false" customHeight="false" hidden="false" ht="12.1" outlineLevel="0" r="564">
      <c r="A564" s="20" t="n">
        <v>45721.440474537</v>
      </c>
      <c r="B564" s="16" t="s">
        <v>128</v>
      </c>
      <c r="C564" s="16" t="s">
        <v>721</v>
      </c>
      <c r="D564" s="16" t="s">
        <v>587</v>
      </c>
      <c r="E564" s="16" t="s">
        <v>122</v>
      </c>
      <c r="F564" s="16" t="s">
        <v>20</v>
      </c>
      <c r="G564" s="7" t="n">
        <v>350</v>
      </c>
      <c r="H564" s="6" t="n">
        <v>1.6192</v>
      </c>
      <c r="I564" s="6" t="n">
        <v>-566.72</v>
      </c>
      <c r="J564" s="6" t="n">
        <v>0</v>
      </c>
      <c r="K564" s="6" t="n">
        <v>0</v>
      </c>
      <c r="L564" s="6" t="n">
        <v>0</v>
      </c>
      <c r="M564" s="6" t="s">
        <f>=I564+J564+K564+L564</f>
      </c>
      <c r="N564" s="6"/>
      <c r="O564" s="16"/>
    </row>
    <row collapsed="false" customFormat="false" customHeight="false" hidden="false" ht="12.1" outlineLevel="0" r="565">
      <c r="A565" s="21" t="n">
        <v>45726</v>
      </c>
      <c r="B565" s="22" t="s">
        <v>785</v>
      </c>
      <c r="C565" s="22" t="s">
        <v>836</v>
      </c>
      <c r="D565" s="22" t="s">
        <v>785</v>
      </c>
      <c r="E565" s="22" t="s">
        <v>785</v>
      </c>
      <c r="F565" s="22" t="s">
        <v>20</v>
      </c>
      <c r="G565" s="23" t="n">
        <v>1</v>
      </c>
      <c r="H565" s="24" t="n">
        <v>400</v>
      </c>
      <c r="I565" s="24" t="n">
        <v>400</v>
      </c>
      <c r="J565" s="24" t="n">
        <v>0</v>
      </c>
      <c r="K565" s="24" t="n">
        <v>0</v>
      </c>
      <c r="L565" s="24" t="n">
        <v>0</v>
      </c>
      <c r="M565" s="6" t="s">
        <f>=I565+J565+K565+L565</f>
      </c>
      <c r="N565" s="24"/>
      <c r="O565" s="22"/>
    </row>
    <row collapsed="false" customFormat="false" customHeight="false" hidden="false" ht="12.1" outlineLevel="0" r="566">
      <c r="A566" s="20" t="n">
        <v>45727.663993056</v>
      </c>
      <c r="B566" s="16" t="s">
        <v>128</v>
      </c>
      <c r="C566" s="16" t="s">
        <v>721</v>
      </c>
      <c r="D566" s="16" t="s">
        <v>587</v>
      </c>
      <c r="E566" s="16" t="s">
        <v>122</v>
      </c>
      <c r="F566" s="16" t="s">
        <v>20</v>
      </c>
      <c r="G566" s="7" t="n">
        <v>250</v>
      </c>
      <c r="H566" s="6" t="n">
        <v>1.6248</v>
      </c>
      <c r="I566" s="6" t="n">
        <v>-406.2</v>
      </c>
      <c r="J566" s="6" t="n">
        <v>0</v>
      </c>
      <c r="K566" s="6" t="n">
        <v>0</v>
      </c>
      <c r="L566" s="6" t="n">
        <v>0</v>
      </c>
      <c r="M566" s="6" t="s">
        <f>=I566+J566+K566+L566</f>
      </c>
      <c r="N566" s="6"/>
      <c r="O566" s="16"/>
    </row>
    <row collapsed="false" customFormat="false" customHeight="false" hidden="false" ht="12.1" outlineLevel="0" r="567">
      <c r="A567" s="21" t="n">
        <v>45728</v>
      </c>
      <c r="B567" s="22" t="s">
        <v>785</v>
      </c>
      <c r="C567" s="22" t="s">
        <v>846</v>
      </c>
      <c r="D567" s="22" t="s">
        <v>785</v>
      </c>
      <c r="E567" s="22" t="s">
        <v>785</v>
      </c>
      <c r="F567" s="22" t="s">
        <v>20</v>
      </c>
      <c r="G567" s="23" t="n">
        <v>1</v>
      </c>
      <c r="H567" s="24" t="n">
        <v>17.25</v>
      </c>
      <c r="I567" s="24" t="n">
        <v>17.25</v>
      </c>
      <c r="J567" s="24" t="n">
        <v>0</v>
      </c>
      <c r="K567" s="24" t="n">
        <v>0</v>
      </c>
      <c r="L567" s="24" t="n">
        <v>0</v>
      </c>
      <c r="M567" s="6" t="s">
        <f>=I567+J567+K567+L567</f>
      </c>
      <c r="N567" s="24"/>
      <c r="O567" s="22"/>
    </row>
    <row collapsed="false" customFormat="false" customHeight="false" hidden="false" ht="12.1" outlineLevel="0" r="568">
      <c r="A568" s="21" t="n">
        <v>45742</v>
      </c>
      <c r="B568" s="22" t="s">
        <v>785</v>
      </c>
      <c r="C568" s="22" t="s">
        <v>831</v>
      </c>
      <c r="D568" s="22" t="s">
        <v>785</v>
      </c>
      <c r="E568" s="22" t="s">
        <v>785</v>
      </c>
      <c r="F568" s="22" t="s">
        <v>20</v>
      </c>
      <c r="G568" s="23" t="n">
        <v>1</v>
      </c>
      <c r="H568" s="24" t="n">
        <v>660</v>
      </c>
      <c r="I568" s="24" t="n">
        <v>660</v>
      </c>
      <c r="J568" s="24" t="n">
        <v>0</v>
      </c>
      <c r="K568" s="24" t="n">
        <v>0</v>
      </c>
      <c r="L568" s="24" t="n">
        <v>0</v>
      </c>
      <c r="M568" s="6" t="s">
        <f>=I568+J568+K568+L568</f>
      </c>
      <c r="N568" s="24"/>
      <c r="O568" s="22"/>
    </row>
    <row collapsed="false" customFormat="false" customHeight="false" hidden="false" ht="12.1" outlineLevel="0" r="569">
      <c r="A569" s="20" t="n">
        <v>45742.696516204</v>
      </c>
      <c r="B569" s="16" t="s">
        <v>130</v>
      </c>
      <c r="C569" s="16" t="s">
        <v>722</v>
      </c>
      <c r="D569" s="16" t="s">
        <v>587</v>
      </c>
      <c r="E569" s="16" t="s">
        <v>122</v>
      </c>
      <c r="F569" s="16" t="s">
        <v>20</v>
      </c>
      <c r="G569" s="7" t="n">
        <v>320</v>
      </c>
      <c r="H569" s="6" t="n">
        <v>2.087</v>
      </c>
      <c r="I569" s="6" t="n">
        <v>-667.84</v>
      </c>
      <c r="J569" s="6" t="n">
        <v>0</v>
      </c>
      <c r="K569" s="6" t="n">
        <v>-0.21</v>
      </c>
      <c r="L569" s="6" t="n">
        <v>0</v>
      </c>
      <c r="M569" s="6" t="s">
        <f>=I569+J569+K569+L569</f>
      </c>
      <c r="N569" s="6"/>
      <c r="O569" s="16"/>
    </row>
    <row collapsed="false" customFormat="false" customHeight="false" hidden="false" ht="12.1" outlineLevel="0" r="570">
      <c r="A570" s="21" t="n">
        <v>45748</v>
      </c>
      <c r="B570" s="22" t="s">
        <v>785</v>
      </c>
      <c r="C570" s="22" t="s">
        <v>847</v>
      </c>
      <c r="D570" s="22" t="s">
        <v>785</v>
      </c>
      <c r="E570" s="22" t="s">
        <v>785</v>
      </c>
      <c r="F570" s="22" t="s">
        <v>20</v>
      </c>
      <c r="G570" s="23" t="n">
        <v>1</v>
      </c>
      <c r="H570" s="24" t="n">
        <v>255.92</v>
      </c>
      <c r="I570" s="24" t="n">
        <v>255.92</v>
      </c>
      <c r="J570" s="24" t="n">
        <v>0</v>
      </c>
      <c r="K570" s="24" t="n">
        <v>0</v>
      </c>
      <c r="L570" s="24" t="n">
        <v>0</v>
      </c>
      <c r="M570" s="6" t="s">
        <f>=I570+J570+K570+L570</f>
      </c>
      <c r="N570" s="24"/>
      <c r="O570" s="22"/>
    </row>
    <row collapsed="false" customFormat="false" customHeight="false" hidden="false" ht="12.1" outlineLevel="0" r="571">
      <c r="A571" s="21" t="n">
        <v>45749</v>
      </c>
      <c r="B571" s="22" t="s">
        <v>785</v>
      </c>
      <c r="C571" s="22" t="s">
        <v>816</v>
      </c>
      <c r="D571" s="22" t="s">
        <v>785</v>
      </c>
      <c r="E571" s="22" t="s">
        <v>785</v>
      </c>
      <c r="F571" s="22" t="s">
        <v>20</v>
      </c>
      <c r="G571" s="23" t="n">
        <v>1</v>
      </c>
      <c r="H571" s="24" t="n">
        <v>301.7</v>
      </c>
      <c r="I571" s="24" t="n">
        <v>301.7</v>
      </c>
      <c r="J571" s="24" t="n">
        <v>0</v>
      </c>
      <c r="K571" s="24" t="n">
        <v>0</v>
      </c>
      <c r="L571" s="24" t="n">
        <v>0</v>
      </c>
      <c r="M571" s="6" t="s">
        <f>=I571+J571+K571+L571</f>
      </c>
      <c r="N571" s="24"/>
      <c r="O571" s="22"/>
    </row>
    <row collapsed="false" customFormat="false" customHeight="false" hidden="false" ht="12.1" outlineLevel="0" r="572">
      <c r="A572" s="20" t="n">
        <v>45749.44962963</v>
      </c>
      <c r="B572" s="16" t="s">
        <v>128</v>
      </c>
      <c r="C572" s="16" t="s">
        <v>721</v>
      </c>
      <c r="D572" s="16" t="s">
        <v>587</v>
      </c>
      <c r="E572" s="16" t="s">
        <v>122</v>
      </c>
      <c r="F572" s="16" t="s">
        <v>20</v>
      </c>
      <c r="G572" s="7" t="n">
        <v>250</v>
      </c>
      <c r="H572" s="6" t="n">
        <v>1.64568</v>
      </c>
      <c r="I572" s="6" t="n">
        <v>-411.42</v>
      </c>
      <c r="J572" s="6" t="n">
        <v>0</v>
      </c>
      <c r="K572" s="6" t="n">
        <v>0</v>
      </c>
      <c r="L572" s="6" t="n">
        <v>0</v>
      </c>
      <c r="M572" s="6" t="s">
        <f>=I572+J572+K572+L572</f>
      </c>
      <c r="N572" s="6"/>
      <c r="O572" s="16"/>
    </row>
    <row collapsed="false" customFormat="false" customHeight="false" hidden="false" ht="12.1" outlineLevel="0" r="573">
      <c r="A573" s="20" t="n">
        <v>45749.754791667</v>
      </c>
      <c r="B573" s="16" t="s">
        <v>121</v>
      </c>
      <c r="C573" s="16" t="s">
        <v>774</v>
      </c>
      <c r="D573" s="16" t="s">
        <v>587</v>
      </c>
      <c r="E573" s="16" t="s">
        <v>122</v>
      </c>
      <c r="F573" s="16" t="s">
        <v>20</v>
      </c>
      <c r="G573" s="7" t="n">
        <v>1</v>
      </c>
      <c r="H573" s="6" t="n">
        <v>159.5</v>
      </c>
      <c r="I573" s="6" t="n">
        <v>-159.5</v>
      </c>
      <c r="J573" s="6" t="n">
        <v>0</v>
      </c>
      <c r="K573" s="6" t="n">
        <v>-0.05</v>
      </c>
      <c r="L573" s="6" t="n">
        <v>0</v>
      </c>
      <c r="M573" s="6" t="s">
        <f>=I573+J573+K573+L573</f>
      </c>
      <c r="N573" s="6"/>
      <c r="O573" s="16"/>
    </row>
    <row collapsed="false" customFormat="false" customHeight="false" hidden="false" ht="12.1" outlineLevel="0" r="574">
      <c r="A574" s="25" t="n">
        <v>45755.929513889</v>
      </c>
      <c r="B574" s="26" t="s">
        <v>614</v>
      </c>
      <c r="C574" s="26" t="s">
        <v>824</v>
      </c>
      <c r="D574" s="26" t="s">
        <v>588</v>
      </c>
      <c r="E574" s="26" t="s">
        <v>18</v>
      </c>
      <c r="F574" s="26" t="s">
        <v>20</v>
      </c>
      <c r="G574" s="27" t="n">
        <v>-5</v>
      </c>
      <c r="H574" s="28" t="n">
        <v>405</v>
      </c>
      <c r="I574" s="28" t="n">
        <v>2025</v>
      </c>
      <c r="J574" s="28" t="n">
        <v>0</v>
      </c>
      <c r="K574" s="28" t="n">
        <v>-1.62</v>
      </c>
      <c r="L574" s="28" t="n">
        <v>0</v>
      </c>
      <c r="M574" s="6" t="s">
        <f>=I574+J574+K574+L574</f>
      </c>
      <c r="N574" s="28"/>
      <c r="O574" s="26"/>
    </row>
    <row collapsed="false" customFormat="false" customHeight="false" hidden="false" ht="12.1" outlineLevel="0" r="575">
      <c r="A575" s="21" t="n">
        <v>45757</v>
      </c>
      <c r="B575" s="22" t="s">
        <v>785</v>
      </c>
      <c r="C575" s="22" t="s">
        <v>836</v>
      </c>
      <c r="D575" s="22" t="s">
        <v>785</v>
      </c>
      <c r="E575" s="22" t="s">
        <v>785</v>
      </c>
      <c r="F575" s="22" t="s">
        <v>20</v>
      </c>
      <c r="G575" s="23" t="n">
        <v>1</v>
      </c>
      <c r="H575" s="24" t="n">
        <v>400</v>
      </c>
      <c r="I575" s="24" t="n">
        <v>400</v>
      </c>
      <c r="J575" s="24" t="n">
        <v>0</v>
      </c>
      <c r="K575" s="24" t="n">
        <v>0</v>
      </c>
      <c r="L575" s="24" t="n">
        <v>0</v>
      </c>
      <c r="M575" s="6" t="s">
        <f>=I575+J575+K575+L575</f>
      </c>
      <c r="N575" s="24"/>
      <c r="O575" s="22"/>
    </row>
    <row collapsed="false" customFormat="false" customHeight="false" hidden="false" ht="12.1" outlineLevel="0" r="576">
      <c r="A576" s="20" t="n">
        <v>45757.751851852</v>
      </c>
      <c r="B576" s="16" t="s">
        <v>130</v>
      </c>
      <c r="C576" s="16" t="s">
        <v>722</v>
      </c>
      <c r="D576" s="16" t="s">
        <v>587</v>
      </c>
      <c r="E576" s="16" t="s">
        <v>122</v>
      </c>
      <c r="F576" s="16" t="s">
        <v>20</v>
      </c>
      <c r="G576" s="7" t="n">
        <v>1100</v>
      </c>
      <c r="H576" s="6" t="n">
        <v>2.1795</v>
      </c>
      <c r="I576" s="6" t="n">
        <v>-2397.45</v>
      </c>
      <c r="J576" s="6" t="n">
        <v>0</v>
      </c>
      <c r="K576" s="6" t="n">
        <v>-0.72</v>
      </c>
      <c r="L576" s="6" t="n">
        <v>0</v>
      </c>
      <c r="M576" s="6" t="s">
        <f>=I576+J576+K576+L576</f>
      </c>
      <c r="N576" s="6"/>
      <c r="O576" s="16"/>
    </row>
    <row collapsed="false" customFormat="false" customHeight="false" hidden="false" ht="12.1" outlineLevel="0" r="577">
      <c r="A577" s="21" t="n">
        <v>45782</v>
      </c>
      <c r="B577" s="22" t="s">
        <v>785</v>
      </c>
      <c r="C577" s="22" t="s">
        <v>816</v>
      </c>
      <c r="D577" s="22" t="s">
        <v>785</v>
      </c>
      <c r="E577" s="22" t="s">
        <v>785</v>
      </c>
      <c r="F577" s="22" t="s">
        <v>20</v>
      </c>
      <c r="G577" s="23" t="n">
        <v>1</v>
      </c>
      <c r="H577" s="24" t="n">
        <v>309</v>
      </c>
      <c r="I577" s="24" t="n">
        <v>309</v>
      </c>
      <c r="J577" s="24" t="n">
        <v>0</v>
      </c>
      <c r="K577" s="24" t="n">
        <v>0</v>
      </c>
      <c r="L577" s="24" t="n">
        <v>0</v>
      </c>
      <c r="M577" s="6" t="s">
        <f>=I577+J577+K577+L577</f>
      </c>
      <c r="N577" s="24"/>
      <c r="O577" s="22"/>
    </row>
    <row collapsed="false" customFormat="false" customHeight="false" hidden="false" ht="12.1" outlineLevel="0" r="578">
      <c r="A578" s="21" t="n">
        <v>45783</v>
      </c>
      <c r="B578" s="22" t="s">
        <v>785</v>
      </c>
      <c r="C578" s="22" t="s">
        <v>847</v>
      </c>
      <c r="D578" s="22" t="s">
        <v>785</v>
      </c>
      <c r="E578" s="22" t="s">
        <v>785</v>
      </c>
      <c r="F578" s="22" t="s">
        <v>20</v>
      </c>
      <c r="G578" s="23" t="n">
        <v>1</v>
      </c>
      <c r="H578" s="24" t="n">
        <v>253.82</v>
      </c>
      <c r="I578" s="24" t="n">
        <v>253.82</v>
      </c>
      <c r="J578" s="24" t="n">
        <v>0</v>
      </c>
      <c r="K578" s="24" t="n">
        <v>0</v>
      </c>
      <c r="L578" s="24" t="n">
        <v>0</v>
      </c>
      <c r="M578" s="6" t="s">
        <f>=I578+J578+K578+L578</f>
      </c>
      <c r="N578" s="24"/>
      <c r="O578" s="22"/>
    </row>
    <row collapsed="false" customFormat="false" customHeight="false" hidden="false" ht="12.1" outlineLevel="0" r="579">
      <c r="A579" s="20" t="n">
        <v>45783.451458333</v>
      </c>
      <c r="B579" s="16" t="s">
        <v>126</v>
      </c>
      <c r="C579" s="16" t="s">
        <v>776</v>
      </c>
      <c r="D579" s="16" t="s">
        <v>587</v>
      </c>
      <c r="E579" s="16" t="s">
        <v>122</v>
      </c>
      <c r="F579" s="16" t="s">
        <v>20</v>
      </c>
      <c r="G579" s="7" t="n">
        <v>2</v>
      </c>
      <c r="H579" s="6" t="n">
        <v>126.04</v>
      </c>
      <c r="I579" s="6" t="n">
        <v>-252.08</v>
      </c>
      <c r="J579" s="6" t="n">
        <v>0</v>
      </c>
      <c r="K579" s="6" t="n">
        <v>0</v>
      </c>
      <c r="L579" s="6" t="n">
        <v>0</v>
      </c>
      <c r="M579" s="6" t="s">
        <f>=I579+J579+K579+L579</f>
      </c>
      <c r="N579" s="6"/>
      <c r="O579" s="16"/>
    </row>
    <row collapsed="false" customFormat="false" customHeight="false" hidden="false" ht="12.1" outlineLevel="0" r="580">
      <c r="A580" s="20" t="n">
        <v>45789.435625</v>
      </c>
      <c r="B580" s="16" t="s">
        <v>126</v>
      </c>
      <c r="C580" s="16" t="s">
        <v>776</v>
      </c>
      <c r="D580" s="16" t="s">
        <v>587</v>
      </c>
      <c r="E580" s="16" t="s">
        <v>122</v>
      </c>
      <c r="F580" s="16" t="s">
        <v>20</v>
      </c>
      <c r="G580" s="7" t="n">
        <v>2</v>
      </c>
      <c r="H580" s="6" t="n">
        <v>126.15</v>
      </c>
      <c r="I580" s="6" t="n">
        <v>-252.3</v>
      </c>
      <c r="J580" s="6" t="n">
        <v>0</v>
      </c>
      <c r="K580" s="6" t="n">
        <v>0</v>
      </c>
      <c r="L580" s="6" t="n">
        <v>0</v>
      </c>
      <c r="M580" s="6" t="s">
        <f>=I580+J580+K580+L580</f>
      </c>
      <c r="N580" s="6"/>
      <c r="O580" s="16"/>
    </row>
    <row collapsed="false" customFormat="false" customHeight="false" hidden="false" ht="12.1" outlineLevel="0" r="581">
      <c r="A581" s="20" t="n">
        <v>45789.436087963</v>
      </c>
      <c r="B581" s="16" t="s">
        <v>130</v>
      </c>
      <c r="C581" s="16" t="s">
        <v>722</v>
      </c>
      <c r="D581" s="16" t="s">
        <v>587</v>
      </c>
      <c r="E581" s="16" t="s">
        <v>122</v>
      </c>
      <c r="F581" s="16" t="s">
        <v>20</v>
      </c>
      <c r="G581" s="7" t="n">
        <v>35</v>
      </c>
      <c r="H581" s="6" t="n">
        <v>2.1425</v>
      </c>
      <c r="I581" s="6" t="n">
        <v>-74.99</v>
      </c>
      <c r="J581" s="6" t="n">
        <v>0</v>
      </c>
      <c r="K581" s="6" t="n">
        <v>-0.02</v>
      </c>
      <c r="L581" s="6" t="n">
        <v>0</v>
      </c>
      <c r="M581" s="6" t="s">
        <f>=I581+J581+K581+L581</f>
      </c>
      <c r="N581" s="6"/>
      <c r="O581" s="16"/>
    </row>
    <row collapsed="false" customFormat="false" customHeight="false" hidden="false" ht="12.1" outlineLevel="0" r="582">
      <c r="A582" s="20" t="n">
        <v>45790.882164352</v>
      </c>
      <c r="B582" s="16" t="s">
        <v>126</v>
      </c>
      <c r="C582" s="16" t="s">
        <v>776</v>
      </c>
      <c r="D582" s="16" t="s">
        <v>587</v>
      </c>
      <c r="E582" s="16" t="s">
        <v>122</v>
      </c>
      <c r="F582" s="16" t="s">
        <v>20</v>
      </c>
      <c r="G582" s="7" t="n">
        <v>3</v>
      </c>
      <c r="H582" s="6" t="n">
        <v>124.96</v>
      </c>
      <c r="I582" s="6" t="n">
        <v>-374.88</v>
      </c>
      <c r="J582" s="6" t="n">
        <v>0</v>
      </c>
      <c r="K582" s="6" t="n">
        <v>0</v>
      </c>
      <c r="L582" s="6" t="n">
        <v>0</v>
      </c>
      <c r="M582" s="6" t="s">
        <f>=I582+J582+K582+L582</f>
      </c>
      <c r="N582" s="6"/>
      <c r="O582" s="16"/>
    </row>
    <row collapsed="false" customFormat="false" customHeight="false" hidden="false" ht="12.1" outlineLevel="0" r="583">
      <c r="A583" s="20" t="n">
        <v>45803.48224537</v>
      </c>
      <c r="B583" s="16" t="s">
        <v>130</v>
      </c>
      <c r="C583" s="16" t="s">
        <v>722</v>
      </c>
      <c r="D583" s="16" t="s">
        <v>587</v>
      </c>
      <c r="E583" s="16" t="s">
        <v>122</v>
      </c>
      <c r="F583" s="16" t="s">
        <v>20</v>
      </c>
      <c r="G583" s="7" t="n">
        <v>19</v>
      </c>
      <c r="H583" s="6" t="n">
        <v>2.1415</v>
      </c>
      <c r="I583" s="6" t="n">
        <v>-40.69</v>
      </c>
      <c r="J583" s="6" t="n">
        <v>0</v>
      </c>
      <c r="K583" s="6" t="n">
        <v>-0.02</v>
      </c>
      <c r="L583" s="6" t="n">
        <v>0</v>
      </c>
      <c r="M583" s="6" t="s">
        <f>=I583+J583+K583+L583</f>
      </c>
      <c r="N583" s="6"/>
      <c r="O583" s="16"/>
    </row>
    <row collapsed="false" customFormat="false" customHeight="false" hidden="false" ht="12.1" outlineLevel="0" r="584">
      <c r="A584" s="21" t="n">
        <v>45810</v>
      </c>
      <c r="B584" s="22" t="s">
        <v>785</v>
      </c>
      <c r="C584" s="22" t="s">
        <v>848</v>
      </c>
      <c r="D584" s="22" t="s">
        <v>785</v>
      </c>
      <c r="E584" s="22" t="s">
        <v>785</v>
      </c>
      <c r="F584" s="22" t="s">
        <v>20</v>
      </c>
      <c r="G584" s="23" t="n">
        <v>2</v>
      </c>
      <c r="H584" s="24" t="n">
        <v>271.36</v>
      </c>
      <c r="I584" s="24" t="n">
        <v>542.72</v>
      </c>
      <c r="J584" s="24" t="n">
        <v>0</v>
      </c>
      <c r="K584" s="24" t="n">
        <v>0</v>
      </c>
      <c r="L584" s="24" t="n">
        <v>0</v>
      </c>
      <c r="M584" s="6" t="s">
        <f>=I584+J584+K584+L584</f>
      </c>
      <c r="N584" s="24"/>
      <c r="O584" s="22"/>
    </row>
    <row collapsed="false" customFormat="false" customHeight="false" hidden="false" ht="12.1" outlineLevel="0" r="585">
      <c r="A585" s="20" t="n">
        <v>45810.796597222</v>
      </c>
      <c r="B585" s="16" t="s">
        <v>128</v>
      </c>
      <c r="C585" s="16" t="s">
        <v>721</v>
      </c>
      <c r="D585" s="16" t="s">
        <v>587</v>
      </c>
      <c r="E585" s="16" t="s">
        <v>122</v>
      </c>
      <c r="F585" s="16" t="s">
        <v>20</v>
      </c>
      <c r="G585" s="7" t="n">
        <v>300</v>
      </c>
      <c r="H585" s="6" t="n">
        <v>1.7035</v>
      </c>
      <c r="I585" s="6" t="n">
        <v>-511.05</v>
      </c>
      <c r="J585" s="6" t="n">
        <v>0</v>
      </c>
      <c r="K585" s="6" t="n">
        <v>0</v>
      </c>
      <c r="L585" s="6" t="n">
        <v>0</v>
      </c>
      <c r="M585" s="6" t="s">
        <f>=I585+J585+K585+L585</f>
      </c>
      <c r="N585" s="6"/>
      <c r="O585" s="16"/>
    </row>
    <row collapsed="false" customFormat="false" customHeight="false" hidden="false" ht="12.1" outlineLevel="0" r="586">
      <c r="A586" s="21" t="n">
        <v>45817</v>
      </c>
      <c r="B586" s="22" t="s">
        <v>785</v>
      </c>
      <c r="C586" s="22" t="s">
        <v>849</v>
      </c>
      <c r="D586" s="22" t="s">
        <v>785</v>
      </c>
      <c r="E586" s="22" t="s">
        <v>785</v>
      </c>
      <c r="F586" s="22" t="s">
        <v>20</v>
      </c>
      <c r="G586" s="23" t="n">
        <v>2</v>
      </c>
      <c r="H586" s="24" t="n">
        <v>400</v>
      </c>
      <c r="I586" s="24" t="n">
        <v>800</v>
      </c>
      <c r="J586" s="24" t="n">
        <v>0</v>
      </c>
      <c r="K586" s="24" t="n">
        <v>0</v>
      </c>
      <c r="L586" s="24" t="n">
        <v>0</v>
      </c>
      <c r="M586" s="6" t="s">
        <f>=I586+J586+K586+L586</f>
      </c>
      <c r="N586" s="24"/>
      <c r="O586" s="22"/>
    </row>
    <row collapsed="false" customFormat="false" customHeight="false" hidden="false" ht="12.1" outlineLevel="0" r="587">
      <c r="A587" s="20" t="n">
        <v>45817.866747685</v>
      </c>
      <c r="B587" s="16" t="s">
        <v>130</v>
      </c>
      <c r="C587" s="16" t="s">
        <v>722</v>
      </c>
      <c r="D587" s="16" t="s">
        <v>587</v>
      </c>
      <c r="E587" s="16" t="s">
        <v>122</v>
      </c>
      <c r="F587" s="16" t="s">
        <v>20</v>
      </c>
      <c r="G587" s="7" t="n">
        <v>200</v>
      </c>
      <c r="H587" s="6" t="n">
        <v>2.13</v>
      </c>
      <c r="I587" s="6" t="n">
        <v>-426</v>
      </c>
      <c r="J587" s="6" t="n">
        <v>0</v>
      </c>
      <c r="K587" s="6" t="n">
        <v>-0.12</v>
      </c>
      <c r="L587" s="6" t="n">
        <v>0</v>
      </c>
      <c r="M587" s="6" t="s">
        <f>=I587+J587+K587+L587</f>
      </c>
      <c r="N587" s="6"/>
      <c r="O587" s="16"/>
    </row>
    <row collapsed="false" customFormat="false" customHeight="false" hidden="false" ht="12.1" outlineLevel="0" r="588">
      <c r="A588" s="21" t="n">
        <v>45820</v>
      </c>
      <c r="B588" s="22" t="s">
        <v>785</v>
      </c>
      <c r="C588" s="22" t="s">
        <v>850</v>
      </c>
      <c r="D588" s="22" t="s">
        <v>785</v>
      </c>
      <c r="E588" s="22" t="s">
        <v>785</v>
      </c>
      <c r="F588" s="22" t="s">
        <v>20</v>
      </c>
      <c r="G588" s="23" t="n">
        <v>2</v>
      </c>
      <c r="H588" s="24" t="n">
        <v>17.38</v>
      </c>
      <c r="I588" s="24" t="n">
        <v>34.76</v>
      </c>
      <c r="J588" s="24" t="n">
        <v>0</v>
      </c>
      <c r="K588" s="24" t="n">
        <v>0</v>
      </c>
      <c r="L588" s="24" t="n">
        <v>0</v>
      </c>
      <c r="M588" s="6" t="s">
        <f>=I588+J588+K588+L588</f>
      </c>
      <c r="N588" s="24"/>
      <c r="O588" s="22"/>
    </row>
    <row collapsed="false" customFormat="false" customHeight="false" hidden="false" ht="12.1" outlineLevel="0" r="589">
      <c r="A589" s="21" t="n">
        <v>45840.020636574</v>
      </c>
      <c r="B589" s="22" t="s">
        <v>785</v>
      </c>
      <c r="C589" s="22" t="s">
        <v>851</v>
      </c>
      <c r="D589" s="22" t="s">
        <v>785</v>
      </c>
      <c r="E589" s="22" t="s">
        <v>785</v>
      </c>
      <c r="F589" s="22" t="s">
        <v>20</v>
      </c>
      <c r="G589" s="23" t="n">
        <v>1</v>
      </c>
      <c r="H589" s="24" t="n">
        <v>227.15</v>
      </c>
      <c r="I589" s="24" t="n">
        <v>227.15</v>
      </c>
      <c r="J589" s="24" t="n">
        <v>0</v>
      </c>
      <c r="K589" s="24" t="n">
        <v>0</v>
      </c>
      <c r="L589" s="24" t="n">
        <v>0</v>
      </c>
      <c r="M589" s="6" t="s">
        <f>=I589+J589+K589+L589</f>
      </c>
      <c r="N589" s="24"/>
      <c r="O589" s="22"/>
    </row>
    <row collapsed="false" customFormat="false" customHeight="false" hidden="false" ht="12.1" outlineLevel="0" r="590">
      <c r="A590" s="20" t="n">
        <v>45840.738252315</v>
      </c>
      <c r="B590" s="16" t="s">
        <v>130</v>
      </c>
      <c r="C590" s="16" t="s">
        <v>722</v>
      </c>
      <c r="D590" s="16" t="s">
        <v>587</v>
      </c>
      <c r="E590" s="16" t="s">
        <v>122</v>
      </c>
      <c r="F590" s="16" t="s">
        <v>20</v>
      </c>
      <c r="G590" s="7" t="n">
        <v>100</v>
      </c>
      <c r="H590" s="6" t="n">
        <v>2.1085</v>
      </c>
      <c r="I590" s="6" t="n">
        <v>-210.85</v>
      </c>
      <c r="J590" s="6" t="n">
        <v>0</v>
      </c>
      <c r="K590" s="6" t="n">
        <v>-0.07</v>
      </c>
      <c r="L590" s="6" t="n">
        <v>0</v>
      </c>
      <c r="M590" s="6" t="s">
        <f>=I590+J590+K590+L590</f>
      </c>
      <c r="N590" s="6"/>
      <c r="O590" s="16"/>
    </row>
    <row collapsed="false" customFormat="false" customHeight="false" hidden="false" ht="12.1" outlineLevel="0" r="591">
      <c r="A591" s="21" t="n">
        <v>45841.020636574</v>
      </c>
      <c r="B591" s="22" t="s">
        <v>785</v>
      </c>
      <c r="C591" s="22" t="s">
        <v>852</v>
      </c>
      <c r="D591" s="22" t="s">
        <v>785</v>
      </c>
      <c r="E591" s="22" t="s">
        <v>785</v>
      </c>
      <c r="F591" s="22" t="s">
        <v>20</v>
      </c>
      <c r="G591" s="23" t="n">
        <v>1</v>
      </c>
      <c r="H591" s="24" t="n">
        <v>296.1</v>
      </c>
      <c r="I591" s="24" t="n">
        <v>296.1</v>
      </c>
      <c r="J591" s="24" t="n">
        <v>0</v>
      </c>
      <c r="K591" s="24" t="n">
        <v>0</v>
      </c>
      <c r="L591" s="24" t="n">
        <v>0</v>
      </c>
      <c r="M591" s="6" t="s">
        <f>=I591+J591+K591+L591</f>
      </c>
      <c r="N591" s="24"/>
      <c r="O591" s="22"/>
    </row>
    <row collapsed="false" customFormat="false" customHeight="false" hidden="false" ht="12.1" outlineLevel="0" r="592">
      <c r="A592" s="21" t="n">
        <v>45846.020636574</v>
      </c>
      <c r="B592" s="22" t="s">
        <v>785</v>
      </c>
      <c r="C592" s="22" t="s">
        <v>849</v>
      </c>
      <c r="D592" s="22" t="s">
        <v>785</v>
      </c>
      <c r="E592" s="22" t="s">
        <v>785</v>
      </c>
      <c r="F592" s="22" t="s">
        <v>20</v>
      </c>
      <c r="G592" s="23" t="n">
        <v>1</v>
      </c>
      <c r="H592" s="24" t="n">
        <v>400</v>
      </c>
      <c r="I592" s="24" t="n">
        <v>400</v>
      </c>
      <c r="J592" s="24" t="n">
        <v>0</v>
      </c>
      <c r="K592" s="24" t="n">
        <v>0</v>
      </c>
      <c r="L592" s="24" t="n">
        <v>0</v>
      </c>
      <c r="M592" s="6" t="s">
        <f>=I592+J592+K592+L592</f>
      </c>
      <c r="N592" s="24"/>
      <c r="O592" s="22"/>
    </row>
    <row collapsed="false" customFormat="false" customHeight="false" hidden="false" ht="12.1" outlineLevel="0" r="593">
      <c r="A593" s="20" t="n">
        <v>45846.965925926</v>
      </c>
      <c r="B593" s="16" t="s">
        <v>130</v>
      </c>
      <c r="C593" s="16" t="s">
        <v>722</v>
      </c>
      <c r="D593" s="16" t="s">
        <v>587</v>
      </c>
      <c r="E593" s="16" t="s">
        <v>122</v>
      </c>
      <c r="F593" s="16" t="s">
        <v>20</v>
      </c>
      <c r="G593" s="7" t="n">
        <v>350</v>
      </c>
      <c r="H593" s="6" t="n">
        <v>2.0835</v>
      </c>
      <c r="I593" s="6" t="n">
        <v>-729.23</v>
      </c>
      <c r="J593" s="6" t="n">
        <v>0</v>
      </c>
      <c r="K593" s="6" t="n">
        <v>-0.22</v>
      </c>
      <c r="L593" s="6" t="n">
        <v>0</v>
      </c>
      <c r="M593" s="6" t="s">
        <f>=I593+J593+K593+L593</f>
      </c>
      <c r="N593" s="6"/>
      <c r="O593" s="16"/>
    </row>
    <row collapsed="false" customFormat="false" customHeight="false" hidden="false" ht="12.1" outlineLevel="0" r="594">
      <c r="A594" s="21" t="n">
        <v>45849.020636574</v>
      </c>
      <c r="B594" s="22" t="s">
        <v>785</v>
      </c>
      <c r="C594" s="22" t="s">
        <v>853</v>
      </c>
      <c r="D594" s="22" t="s">
        <v>785</v>
      </c>
      <c r="E594" s="22" t="s">
        <v>785</v>
      </c>
      <c r="F594" s="22" t="s">
        <v>20</v>
      </c>
      <c r="G594" s="23" t="n">
        <v>1</v>
      </c>
      <c r="H594" s="24" t="n">
        <v>5000</v>
      </c>
      <c r="I594" s="24" t="n">
        <v>5000</v>
      </c>
      <c r="J594" s="24" t="n">
        <v>0</v>
      </c>
      <c r="K594" s="24" t="n">
        <v>0</v>
      </c>
      <c r="L594" s="24" t="n">
        <v>0</v>
      </c>
      <c r="M594" s="6" t="s">
        <f>=I594+J594+K594+L594</f>
      </c>
      <c r="N594" s="24"/>
      <c r="O594" s="22"/>
    </row>
    <row collapsed="false" customFormat="false" customHeight="false" hidden="false" ht="12.1" outlineLevel="0" r="595">
      <c r="A595" s="20" t="n">
        <v>45849.996273148</v>
      </c>
      <c r="B595" s="16" t="s">
        <v>128</v>
      </c>
      <c r="C595" s="16" t="s">
        <v>721</v>
      </c>
      <c r="D595" s="16" t="s">
        <v>587</v>
      </c>
      <c r="E595" s="16" t="s">
        <v>122</v>
      </c>
      <c r="F595" s="16" t="s">
        <v>20</v>
      </c>
      <c r="G595" s="7" t="n">
        <v>2850</v>
      </c>
      <c r="H595" s="6" t="n">
        <v>1.7424</v>
      </c>
      <c r="I595" s="6" t="n">
        <v>-4965.84</v>
      </c>
      <c r="J595" s="6" t="n">
        <v>0</v>
      </c>
      <c r="K595" s="6" t="n">
        <v>0</v>
      </c>
      <c r="L595" s="6" t="n">
        <v>0</v>
      </c>
      <c r="M595" s="6" t="s">
        <f>=I595+J595+K595+L595</f>
      </c>
      <c r="N595" s="6"/>
      <c r="O595" s="16"/>
    </row>
    <row collapsed="false" customFormat="false" customHeight="false" hidden="false" ht="12.1" outlineLevel="0" r="596">
      <c r="A596" s="20" t="n">
        <v>45852.421539352</v>
      </c>
      <c r="B596" s="16" t="s">
        <v>592</v>
      </c>
      <c r="C596" s="16" t="s">
        <v>717</v>
      </c>
      <c r="D596" s="16" t="s">
        <v>587</v>
      </c>
      <c r="E596" s="16" t="s">
        <v>18</v>
      </c>
      <c r="F596" s="16" t="s">
        <v>20</v>
      </c>
      <c r="G596" s="7" t="n">
        <v>50</v>
      </c>
      <c r="H596" s="6" t="n">
        <v>108.3</v>
      </c>
      <c r="I596" s="6" t="n">
        <v>-5415</v>
      </c>
      <c r="J596" s="6" t="n">
        <v>0</v>
      </c>
      <c r="K596" s="6" t="n">
        <v>-2.71</v>
      </c>
      <c r="L596" s="6" t="n">
        <v>0</v>
      </c>
      <c r="M596" s="6" t="s">
        <f>=I596+J596+K596+L596</f>
      </c>
      <c r="N596" s="6"/>
      <c r="O596" s="16"/>
    </row>
    <row collapsed="false" customFormat="false" customHeight="false" hidden="false" ht="12.1" outlineLevel="0" r="597">
      <c r="A597" s="25" t="n">
        <v>45852.42244213</v>
      </c>
      <c r="B597" s="26" t="s">
        <v>128</v>
      </c>
      <c r="C597" s="26" t="s">
        <v>721</v>
      </c>
      <c r="D597" s="26" t="s">
        <v>588</v>
      </c>
      <c r="E597" s="26" t="s">
        <v>122</v>
      </c>
      <c r="F597" s="26" t="s">
        <v>20</v>
      </c>
      <c r="G597" s="27" t="n">
        <v>-3100</v>
      </c>
      <c r="H597" s="28" t="n">
        <v>1.7432</v>
      </c>
      <c r="I597" s="28" t="n">
        <v>5403.92</v>
      </c>
      <c r="J597" s="28" t="n">
        <v>0</v>
      </c>
      <c r="K597" s="28" t="n">
        <v>0</v>
      </c>
      <c r="L597" s="28" t="n">
        <v>0</v>
      </c>
      <c r="M597" s="6" t="s">
        <f>=I597+J597+K597+L597</f>
      </c>
      <c r="N597" s="28"/>
      <c r="O597" s="26"/>
    </row>
    <row collapsed="false" customFormat="false" customHeight="false" hidden="false" ht="12.1" outlineLevel="0" r="598">
      <c r="A598" s="25" t="n">
        <v>45855.487581019</v>
      </c>
      <c r="B598" s="26" t="s">
        <v>593</v>
      </c>
      <c r="C598" s="26" t="s">
        <v>720</v>
      </c>
      <c r="D598" s="26" t="s">
        <v>588</v>
      </c>
      <c r="E598" s="26" t="s">
        <v>18</v>
      </c>
      <c r="F598" s="26" t="s">
        <v>20</v>
      </c>
      <c r="G598" s="27" t="n">
        <v>-10</v>
      </c>
      <c r="H598" s="28" t="n">
        <v>325.25</v>
      </c>
      <c r="I598" s="28" t="n">
        <v>3252.5</v>
      </c>
      <c r="J598" s="28" t="n">
        <v>0</v>
      </c>
      <c r="K598" s="28" t="n">
        <v>-2.6</v>
      </c>
      <c r="L598" s="28" t="n">
        <v>0</v>
      </c>
      <c r="M598" s="6" t="s">
        <f>=I598+J598+K598+L598</f>
      </c>
      <c r="N598" s="28"/>
      <c r="O598" s="26"/>
    </row>
    <row collapsed="false" customFormat="false" customHeight="false" hidden="false" ht="12.1" outlineLevel="0" r="599">
      <c r="A599" s="20" t="n">
        <v>45855.488703704</v>
      </c>
      <c r="B599" s="16" t="s">
        <v>128</v>
      </c>
      <c r="C599" s="16" t="s">
        <v>721</v>
      </c>
      <c r="D599" s="16" t="s">
        <v>587</v>
      </c>
      <c r="E599" s="16" t="s">
        <v>122</v>
      </c>
      <c r="F599" s="16" t="s">
        <v>20</v>
      </c>
      <c r="G599" s="7" t="n">
        <v>1850</v>
      </c>
      <c r="H599" s="6" t="n">
        <v>1.746</v>
      </c>
      <c r="I599" s="6" t="n">
        <v>-3230.1</v>
      </c>
      <c r="J599" s="6" t="n">
        <v>0</v>
      </c>
      <c r="K599" s="6" t="n">
        <v>0</v>
      </c>
      <c r="L599" s="6" t="n">
        <v>0</v>
      </c>
      <c r="M599" s="6" t="s">
        <f>=I599+J599+K599+L599</f>
      </c>
      <c r="N599" s="6"/>
      <c r="O599" s="16"/>
    </row>
    <row collapsed="false" customFormat="false" customHeight="false" hidden="false" ht="12.1" outlineLevel="0" r="600">
      <c r="A600" s="21" t="n">
        <v>45871.020636574</v>
      </c>
      <c r="B600" s="22" t="s">
        <v>785</v>
      </c>
      <c r="C600" s="22" t="s">
        <v>854</v>
      </c>
      <c r="D600" s="22" t="s">
        <v>785</v>
      </c>
      <c r="E600" s="22" t="s">
        <v>785</v>
      </c>
      <c r="F600" s="22" t="s">
        <v>20</v>
      </c>
      <c r="G600" s="23" t="n">
        <v>1</v>
      </c>
      <c r="H600" s="24" t="n">
        <v>229.6</v>
      </c>
      <c r="I600" s="24" t="n">
        <v>229.6</v>
      </c>
      <c r="J600" s="24" t="n">
        <v>0</v>
      </c>
      <c r="K600" s="24" t="n">
        <v>0</v>
      </c>
      <c r="L600" s="24" t="n">
        <v>0</v>
      </c>
      <c r="M600" s="6" t="s">
        <f>=I600+J600+K600+L600</f>
      </c>
      <c r="N600" s="24"/>
      <c r="O600" s="22"/>
    </row>
    <row collapsed="false" customFormat="false" customHeight="false" hidden="false" ht="12.1" outlineLevel="0" r="601">
      <c r="A601" s="21" t="n">
        <v>45874.020636574</v>
      </c>
      <c r="B601" s="22" t="s">
        <v>785</v>
      </c>
      <c r="C601" s="22" t="s">
        <v>855</v>
      </c>
      <c r="D601" s="22" t="s">
        <v>785</v>
      </c>
      <c r="E601" s="22" t="s">
        <v>785</v>
      </c>
      <c r="F601" s="22" t="s">
        <v>20</v>
      </c>
      <c r="G601" s="23" t="n">
        <v>1</v>
      </c>
      <c r="H601" s="24" t="n">
        <v>281.9</v>
      </c>
      <c r="I601" s="24" t="n">
        <v>281.9</v>
      </c>
      <c r="J601" s="24" t="n">
        <v>0</v>
      </c>
      <c r="K601" s="24" t="n">
        <v>0</v>
      </c>
      <c r="L601" s="24" t="n">
        <v>0</v>
      </c>
      <c r="M601" s="6" t="s">
        <f>=I601+J601+K601+L601</f>
      </c>
      <c r="N601" s="24"/>
      <c r="O601" s="22"/>
    </row>
    <row collapsed="false" customFormat="false" customHeight="false" hidden="false" ht="12.1" outlineLevel="0" r="602">
      <c r="A602" s="20" t="n">
        <v>45874.422858796</v>
      </c>
      <c r="B602" s="16" t="s">
        <v>128</v>
      </c>
      <c r="C602" s="16" t="s">
        <v>721</v>
      </c>
      <c r="D602" s="16" t="s">
        <v>587</v>
      </c>
      <c r="E602" s="16" t="s">
        <v>122</v>
      </c>
      <c r="F602" s="16" t="s">
        <v>20</v>
      </c>
      <c r="G602" s="7" t="n">
        <v>150</v>
      </c>
      <c r="H602" s="6" t="n">
        <v>1.7627</v>
      </c>
      <c r="I602" s="6" t="n">
        <v>-264.41</v>
      </c>
      <c r="J602" s="6" t="n">
        <v>0</v>
      </c>
      <c r="K602" s="6" t="n">
        <v>0</v>
      </c>
      <c r="L602" s="6" t="n">
        <v>0</v>
      </c>
      <c r="M602" s="6" t="s">
        <f>=I602+J602+K602+L602</f>
      </c>
      <c r="N602" s="6"/>
      <c r="O602" s="16"/>
    </row>
    <row collapsed="false" customFormat="false" customHeight="false" hidden="false" ht="12.1" outlineLevel="0" r="603">
      <c r="A603" s="21" t="n">
        <v>45876.020636574</v>
      </c>
      <c r="B603" s="22" t="s">
        <v>785</v>
      </c>
      <c r="C603" s="22" t="s">
        <v>849</v>
      </c>
      <c r="D603" s="22" t="s">
        <v>785</v>
      </c>
      <c r="E603" s="22" t="s">
        <v>785</v>
      </c>
      <c r="F603" s="22" t="s">
        <v>20</v>
      </c>
      <c r="G603" s="23" t="n">
        <v>1</v>
      </c>
      <c r="H603" s="24" t="n">
        <v>400</v>
      </c>
      <c r="I603" s="24" t="n">
        <v>400</v>
      </c>
      <c r="J603" s="24" t="n">
        <v>0</v>
      </c>
      <c r="K603" s="24" t="n">
        <v>0</v>
      </c>
      <c r="L603" s="24" t="n">
        <v>0</v>
      </c>
      <c r="M603" s="6" t="s">
        <f>=I603+J603+K603+L603</f>
      </c>
      <c r="N603" s="24"/>
      <c r="O603" s="22"/>
    </row>
    <row collapsed="false" customFormat="false" customHeight="false" hidden="false" ht="12.1" outlineLevel="0" r="604">
      <c r="A604" s="25" t="n">
        <v>45880.473148148</v>
      </c>
      <c r="B604" s="26" t="s">
        <v>592</v>
      </c>
      <c r="C604" s="26" t="s">
        <v>717</v>
      </c>
      <c r="D604" s="26" t="s">
        <v>588</v>
      </c>
      <c r="E604" s="26" t="s">
        <v>18</v>
      </c>
      <c r="F604" s="26" t="s">
        <v>20</v>
      </c>
      <c r="G604" s="27" t="n">
        <v>-51</v>
      </c>
      <c r="H604" s="28" t="n">
        <v>129.35</v>
      </c>
      <c r="I604" s="28" t="n">
        <v>6596.85</v>
      </c>
      <c r="J604" s="28" t="n">
        <v>0</v>
      </c>
      <c r="K604" s="28" t="n">
        <v>-5.28</v>
      </c>
      <c r="L604" s="28" t="n">
        <v>0</v>
      </c>
      <c r="M604" s="6" t="s">
        <f>=I604+J604+K604+L604</f>
      </c>
      <c r="N604" s="28"/>
      <c r="O604" s="26"/>
    </row>
    <row collapsed="false" customFormat="false" customHeight="false" hidden="false" ht="12.1" outlineLevel="0" r="605">
      <c r="A605" s="20" t="n">
        <v>45880.847094907</v>
      </c>
      <c r="B605" s="16" t="s">
        <v>128</v>
      </c>
      <c r="C605" s="16" t="s">
        <v>721</v>
      </c>
      <c r="D605" s="16" t="s">
        <v>587</v>
      </c>
      <c r="E605" s="16" t="s">
        <v>122</v>
      </c>
      <c r="F605" s="16" t="s">
        <v>20</v>
      </c>
      <c r="G605" s="7" t="n">
        <v>4100</v>
      </c>
      <c r="H605" s="6" t="n">
        <v>1.7677</v>
      </c>
      <c r="I605" s="6" t="n">
        <v>-7247.57</v>
      </c>
      <c r="J605" s="6" t="n">
        <v>0</v>
      </c>
      <c r="K605" s="6" t="n">
        <v>0</v>
      </c>
      <c r="L605" s="6" t="n">
        <v>0</v>
      </c>
      <c r="M605" s="6" t="s">
        <f>=I605+J605+K605+L605</f>
      </c>
      <c r="N605" s="6"/>
      <c r="O605" s="16"/>
    </row>
    <row collapsed="false" customFormat="false" customHeight="false" hidden="false" ht="12.1" outlineLevel="0" r="606">
      <c r="A606" s="21" t="n">
        <v>45901.020636574</v>
      </c>
      <c r="B606" s="22" t="s">
        <v>785</v>
      </c>
      <c r="C606" s="22" t="s">
        <v>856</v>
      </c>
      <c r="D606" s="22" t="s">
        <v>785</v>
      </c>
      <c r="E606" s="22" t="s">
        <v>785</v>
      </c>
      <c r="F606" s="22" t="s">
        <v>20</v>
      </c>
      <c r="G606" s="23" t="n">
        <v>1</v>
      </c>
      <c r="H606" s="24" t="n">
        <v>221.48</v>
      </c>
      <c r="I606" s="24" t="n">
        <v>221.48</v>
      </c>
      <c r="J606" s="24" t="n">
        <v>0</v>
      </c>
      <c r="K606" s="24" t="n">
        <v>0</v>
      </c>
      <c r="L606" s="24" t="n">
        <v>0</v>
      </c>
      <c r="M606" s="6" t="s">
        <f>=I606+J606+K606+L606</f>
      </c>
      <c r="N606" s="24"/>
      <c r="O606" s="22"/>
    </row>
    <row collapsed="false" customFormat="false" customHeight="false" hidden="false" ht="12.1" outlineLevel="0" r="607">
      <c r="A607" s="25" t="n">
        <v>45901.431608796</v>
      </c>
      <c r="B607" s="26" t="s">
        <v>613</v>
      </c>
      <c r="C607" s="26" t="s">
        <v>806</v>
      </c>
      <c r="D607" s="26" t="s">
        <v>588</v>
      </c>
      <c r="E607" s="26" t="s">
        <v>18</v>
      </c>
      <c r="F607" s="26" t="s">
        <v>20</v>
      </c>
      <c r="G607" s="27" t="n">
        <v>-10</v>
      </c>
      <c r="H607" s="28" t="n">
        <v>2161.8</v>
      </c>
      <c r="I607" s="28" t="n">
        <v>21618</v>
      </c>
      <c r="J607" s="28" t="n">
        <v>0</v>
      </c>
      <c r="K607" s="28" t="n">
        <v>-17.3</v>
      </c>
      <c r="L607" s="28" t="n">
        <v>0</v>
      </c>
      <c r="M607" s="6" t="s">
        <f>=I607+J607+K607+L607</f>
      </c>
      <c r="N607" s="28"/>
      <c r="O607" s="26"/>
    </row>
    <row collapsed="false" customFormat="false" customHeight="false" hidden="false" ht="12.1" outlineLevel="0" r="608">
      <c r="A608" s="25" t="n">
        <v>45901.513946759</v>
      </c>
      <c r="B608" s="26" t="s">
        <v>608</v>
      </c>
      <c r="C608" s="26" t="s">
        <v>768</v>
      </c>
      <c r="D608" s="26" t="s">
        <v>588</v>
      </c>
      <c r="E608" s="26" t="s">
        <v>135</v>
      </c>
      <c r="F608" s="26" t="s">
        <v>20</v>
      </c>
      <c r="G608" s="27" t="n">
        <v>-2</v>
      </c>
      <c r="H608" s="28" t="n">
        <v>24.46</v>
      </c>
      <c r="I608" s="28" t="n">
        <v>244.6</v>
      </c>
      <c r="J608" s="28" t="n">
        <v>0</v>
      </c>
      <c r="K608" s="28" t="n">
        <v>-0.14</v>
      </c>
      <c r="L608" s="28" t="n">
        <v>0</v>
      </c>
      <c r="M608" s="6" t="s">
        <f>=I608+J608+K608+L608</f>
      </c>
      <c r="N608" s="28"/>
      <c r="O608" s="26"/>
    </row>
    <row collapsed="false" customFormat="false" customHeight="false" hidden="false" ht="12.1" outlineLevel="0" r="609">
      <c r="A609" s="20" t="n">
        <v>45901.515185185</v>
      </c>
      <c r="B609" s="16" t="s">
        <v>147</v>
      </c>
      <c r="C609" s="16" t="s">
        <v>756</v>
      </c>
      <c r="D609" s="16" t="s">
        <v>587</v>
      </c>
      <c r="E609" s="16" t="s">
        <v>135</v>
      </c>
      <c r="F609" s="16" t="s">
        <v>20</v>
      </c>
      <c r="G609" s="7" t="n">
        <v>23</v>
      </c>
      <c r="H609" s="6" t="n">
        <v>92</v>
      </c>
      <c r="I609" s="6" t="n">
        <v>-21160</v>
      </c>
      <c r="J609" s="6" t="n">
        <v>-102.81</v>
      </c>
      <c r="K609" s="6" t="n">
        <v>-12.37</v>
      </c>
      <c r="L609" s="6" t="n">
        <v>0</v>
      </c>
      <c r="M609" s="6" t="s">
        <f>=I609+J609+K609+L609</f>
      </c>
      <c r="N609" s="6"/>
      <c r="O609" s="16"/>
    </row>
    <row collapsed="false" customFormat="false" customHeight="false" hidden="false" ht="12.1" outlineLevel="0" r="610">
      <c r="A610" s="20" t="n">
        <v>45901.51587963</v>
      </c>
      <c r="B610" s="16" t="s">
        <v>128</v>
      </c>
      <c r="C610" s="16" t="s">
        <v>721</v>
      </c>
      <c r="D610" s="16" t="s">
        <v>587</v>
      </c>
      <c r="E610" s="16" t="s">
        <v>122</v>
      </c>
      <c r="F610" s="16" t="s">
        <v>20</v>
      </c>
      <c r="G610" s="7" t="n">
        <v>450</v>
      </c>
      <c r="H610" s="6" t="n">
        <v>1.7859</v>
      </c>
      <c r="I610" s="6" t="n">
        <v>-803.66</v>
      </c>
      <c r="J610" s="6" t="n">
        <v>0</v>
      </c>
      <c r="K610" s="6" t="n">
        <v>0</v>
      </c>
      <c r="L610" s="6" t="n">
        <v>0</v>
      </c>
      <c r="M610" s="6" t="s">
        <f>=I610+J610+K610+L610</f>
      </c>
      <c r="N610" s="6"/>
      <c r="O610" s="16"/>
    </row>
    <row collapsed="false" customFormat="false" customHeight="false" hidden="false" ht="12.1" outlineLevel="0" r="611">
      <c r="A611" s="21" t="n">
        <v>45902.020636574</v>
      </c>
      <c r="B611" s="22" t="s">
        <v>785</v>
      </c>
      <c r="C611" s="22" t="s">
        <v>857</v>
      </c>
      <c r="D611" s="22" t="s">
        <v>785</v>
      </c>
      <c r="E611" s="22" t="s">
        <v>785</v>
      </c>
      <c r="F611" s="22" t="s">
        <v>20</v>
      </c>
      <c r="G611" s="23" t="n">
        <v>1</v>
      </c>
      <c r="H611" s="24" t="n">
        <v>279.8</v>
      </c>
      <c r="I611" s="24" t="n">
        <v>279.8</v>
      </c>
      <c r="J611" s="24" t="n">
        <v>0</v>
      </c>
      <c r="K611" s="24" t="n">
        <v>0</v>
      </c>
      <c r="L611" s="24" t="n">
        <v>0</v>
      </c>
      <c r="M611" s="6" t="s">
        <f>=I611+J611+K611+L611</f>
      </c>
      <c r="N611" s="24"/>
      <c r="O611" s="22"/>
    </row>
    <row collapsed="false" customFormat="false" customHeight="false" hidden="false" ht="12.1" outlineLevel="0" r="612">
      <c r="A612" s="20" t="n">
        <v>45902.688553241</v>
      </c>
      <c r="B612" s="16" t="s">
        <v>128</v>
      </c>
      <c r="C612" s="16" t="s">
        <v>721</v>
      </c>
      <c r="D612" s="16" t="s">
        <v>587</v>
      </c>
      <c r="E612" s="16" t="s">
        <v>122</v>
      </c>
      <c r="F612" s="16" t="s">
        <v>20</v>
      </c>
      <c r="G612" s="7" t="n">
        <v>160</v>
      </c>
      <c r="H612" s="6" t="n">
        <v>1.7868</v>
      </c>
      <c r="I612" s="6" t="n">
        <v>-285.89</v>
      </c>
      <c r="J612" s="6" t="n">
        <v>0</v>
      </c>
      <c r="K612" s="6" t="n">
        <v>0</v>
      </c>
      <c r="L612" s="6" t="n">
        <v>0</v>
      </c>
      <c r="M612" s="6" t="s">
        <f>=I612+J612+K612+L612</f>
      </c>
      <c r="N612" s="6"/>
      <c r="O612" s="16"/>
    </row>
    <row collapsed="false" customFormat="false" customHeight="false" hidden="false" ht="12.1" outlineLevel="0" r="613">
      <c r="A613" s="21" t="n">
        <v>45908.020636574</v>
      </c>
      <c r="B613" s="22" t="s">
        <v>785</v>
      </c>
      <c r="C613" s="22" t="s">
        <v>849</v>
      </c>
      <c r="D613" s="22" t="s">
        <v>785</v>
      </c>
      <c r="E613" s="22" t="s">
        <v>785</v>
      </c>
      <c r="F613" s="22" t="s">
        <v>20</v>
      </c>
      <c r="G613" s="23" t="n">
        <v>1</v>
      </c>
      <c r="H613" s="24" t="n">
        <v>400</v>
      </c>
      <c r="I613" s="24" t="n">
        <v>400</v>
      </c>
      <c r="J613" s="24" t="n">
        <v>0</v>
      </c>
      <c r="K613" s="24" t="n">
        <v>0</v>
      </c>
      <c r="L613" s="24" t="n">
        <v>0</v>
      </c>
      <c r="M613" s="6" t="s">
        <f>=I613+J613+K613+L613</f>
      </c>
      <c r="N613" s="24"/>
      <c r="O613" s="22"/>
    </row>
    <row collapsed="false" customFormat="false" customHeight="false" hidden="false" ht="12.1" outlineLevel="0" r="614">
      <c r="A614" s="20" t="n">
        <v>45908.709328704</v>
      </c>
      <c r="B614" s="16" t="s">
        <v>128</v>
      </c>
      <c r="C614" s="16" t="s">
        <v>721</v>
      </c>
      <c r="D614" s="16" t="s">
        <v>587</v>
      </c>
      <c r="E614" s="16" t="s">
        <v>122</v>
      </c>
      <c r="F614" s="16" t="s">
        <v>20</v>
      </c>
      <c r="G614" s="7" t="n">
        <v>220</v>
      </c>
      <c r="H614" s="6" t="n">
        <v>1.792</v>
      </c>
      <c r="I614" s="6" t="n">
        <v>-394.24</v>
      </c>
      <c r="J614" s="6" t="n">
        <v>0</v>
      </c>
      <c r="K614" s="6" t="n">
        <v>0</v>
      </c>
      <c r="L614" s="6" t="n">
        <v>0</v>
      </c>
      <c r="M614" s="6" t="s">
        <f>=I614+J614+K614+L614</f>
      </c>
      <c r="N614" s="6"/>
      <c r="O614" s="16"/>
    </row>
    <row collapsed="false" customFormat="false" customHeight="false" hidden="false" ht="12.1" outlineLevel="0" r="615">
      <c r="A615" s="21" t="n">
        <v>45910.020636574</v>
      </c>
      <c r="B615" s="22" t="s">
        <v>785</v>
      </c>
      <c r="C615" s="22" t="s">
        <v>858</v>
      </c>
      <c r="D615" s="22" t="s">
        <v>785</v>
      </c>
      <c r="E615" s="22" t="s">
        <v>785</v>
      </c>
      <c r="F615" s="22" t="s">
        <v>20</v>
      </c>
      <c r="G615" s="23" t="n">
        <v>1</v>
      </c>
      <c r="H615" s="24" t="n">
        <v>17.91</v>
      </c>
      <c r="I615" s="24" t="n">
        <v>17.91</v>
      </c>
      <c r="J615" s="24" t="n">
        <v>0</v>
      </c>
      <c r="K615" s="24" t="n">
        <v>0</v>
      </c>
      <c r="L615" s="24" t="n">
        <v>0</v>
      </c>
      <c r="M615" s="6" t="s">
        <f>=I615+J615+K615+L615</f>
      </c>
      <c r="N615" s="24"/>
      <c r="O615" s="22"/>
    </row>
    <row collapsed="false" customFormat="false" customHeight="false" hidden="false" ht="12.1" outlineLevel="0" r="616">
      <c r="A616" s="20" t="n">
        <v>45911.42900463</v>
      </c>
      <c r="B616" s="16" t="s">
        <v>128</v>
      </c>
      <c r="C616" s="16" t="s">
        <v>721</v>
      </c>
      <c r="D616" s="16" t="s">
        <v>587</v>
      </c>
      <c r="E616" s="16" t="s">
        <v>122</v>
      </c>
      <c r="F616" s="16" t="s">
        <v>20</v>
      </c>
      <c r="G616" s="7" t="n">
        <v>20</v>
      </c>
      <c r="H616" s="6" t="n">
        <v>1.7944</v>
      </c>
      <c r="I616" s="6" t="n">
        <v>-35.89</v>
      </c>
      <c r="J616" s="6" t="n">
        <v>0</v>
      </c>
      <c r="K616" s="6" t="n">
        <v>0</v>
      </c>
      <c r="L616" s="6" t="n">
        <v>0</v>
      </c>
      <c r="M616" s="6" t="s">
        <f>=I616+J616+K616+L616</f>
      </c>
      <c r="N616" s="6"/>
      <c r="O616" s="16"/>
    </row>
    <row collapsed="false" customFormat="false" customHeight="false" hidden="false" ht="12.1" outlineLevel="0" r="617">
      <c r="A617" s="25" t="n">
        <v>45923.74880787</v>
      </c>
      <c r="B617" s="26" t="s">
        <v>604</v>
      </c>
      <c r="C617" s="26" t="s">
        <v>759</v>
      </c>
      <c r="D617" s="26" t="s">
        <v>588</v>
      </c>
      <c r="E617" s="26" t="s">
        <v>135</v>
      </c>
      <c r="F617" s="26" t="s">
        <v>20</v>
      </c>
      <c r="G617" s="27" t="n">
        <v>-4</v>
      </c>
      <c r="H617" s="28" t="n">
        <v>102.29</v>
      </c>
      <c r="I617" s="28" t="n">
        <v>4091.6</v>
      </c>
      <c r="J617" s="28" t="n">
        <v>217.44</v>
      </c>
      <c r="K617" s="28" t="n">
        <v>-2.39</v>
      </c>
      <c r="L617" s="28" t="n">
        <v>0</v>
      </c>
      <c r="M617" s="6" t="s">
        <f>=I617+J617+K617+L617</f>
      </c>
      <c r="N617" s="28"/>
      <c r="O617" s="26"/>
    </row>
    <row collapsed="false" customFormat="false" customHeight="false" hidden="false" ht="12.1" outlineLevel="0" r="618">
      <c r="A618" s="20" t="n">
        <v>45923.749861111</v>
      </c>
      <c r="B618" s="16" t="s">
        <v>128</v>
      </c>
      <c r="C618" s="16" t="s">
        <v>721</v>
      </c>
      <c r="D618" s="16" t="s">
        <v>587</v>
      </c>
      <c r="E618" s="16" t="s">
        <v>122</v>
      </c>
      <c r="F618" s="16" t="s">
        <v>20</v>
      </c>
      <c r="G618" s="7" t="n">
        <v>2350</v>
      </c>
      <c r="H618" s="6" t="n">
        <v>1.8043</v>
      </c>
      <c r="I618" s="6" t="n">
        <v>-4240.11</v>
      </c>
      <c r="J618" s="6" t="n">
        <v>0</v>
      </c>
      <c r="K618" s="6" t="n">
        <v>0</v>
      </c>
      <c r="L618" s="6" t="n">
        <v>0</v>
      </c>
      <c r="M618" s="6" t="s">
        <f>=I618+J618+K618+L618</f>
      </c>
      <c r="N618" s="6"/>
      <c r="O618" s="16"/>
    </row>
    <row collapsed="false" customFormat="false" customHeight="false" hidden="false" ht="12.1" outlineLevel="0" r="619">
      <c r="A619" s="21" t="n">
        <v>45924.020636574</v>
      </c>
      <c r="B619" s="22" t="s">
        <v>785</v>
      </c>
      <c r="C619" s="22" t="s">
        <v>859</v>
      </c>
      <c r="D619" s="22" t="s">
        <v>785</v>
      </c>
      <c r="E619" s="22" t="s">
        <v>785</v>
      </c>
      <c r="F619" s="22" t="s">
        <v>20</v>
      </c>
      <c r="G619" s="23" t="n">
        <v>1</v>
      </c>
      <c r="H619" s="24" t="n">
        <v>680</v>
      </c>
      <c r="I619" s="24" t="n">
        <v>680</v>
      </c>
      <c r="J619" s="24" t="n">
        <v>0</v>
      </c>
      <c r="K619" s="24" t="n">
        <v>0</v>
      </c>
      <c r="L619" s="24" t="n">
        <v>0</v>
      </c>
      <c r="M619" s="6" t="s">
        <f>=I619+J619+K619+L619</f>
      </c>
      <c r="N619" s="24"/>
      <c r="O619" s="22"/>
    </row>
    <row collapsed="false" customFormat="false" customHeight="false" hidden="false" ht="12.1" outlineLevel="0" r="620">
      <c r="A620" s="20" t="n">
        <v>45924.748946759</v>
      </c>
      <c r="B620" s="16" t="s">
        <v>128</v>
      </c>
      <c r="C620" s="16" t="s">
        <v>721</v>
      </c>
      <c r="D620" s="16" t="s">
        <v>587</v>
      </c>
      <c r="E620" s="16" t="s">
        <v>122</v>
      </c>
      <c r="F620" s="16" t="s">
        <v>20</v>
      </c>
      <c r="G620" s="7" t="n">
        <v>400</v>
      </c>
      <c r="H620" s="6" t="n">
        <v>1.8052</v>
      </c>
      <c r="I620" s="6" t="n">
        <v>-722.08</v>
      </c>
      <c r="J620" s="6" t="n">
        <v>0</v>
      </c>
      <c r="K620" s="6" t="n">
        <v>0</v>
      </c>
      <c r="L620" s="6" t="n">
        <v>0</v>
      </c>
      <c r="M620" s="6" t="s">
        <f>=I620+J620+K620+L620</f>
      </c>
      <c r="N620" s="6"/>
      <c r="O620" s="16"/>
    </row>
    <row collapsed="false" customFormat="false" customHeight="false" hidden="false" ht="12.1" outlineLevel="0" r="621">
      <c r="A621" s="21" t="n">
        <v>45931.020636574</v>
      </c>
      <c r="B621" s="22" t="s">
        <v>785</v>
      </c>
      <c r="C621" s="22" t="s">
        <v>860</v>
      </c>
      <c r="D621" s="22" t="s">
        <v>785</v>
      </c>
      <c r="E621" s="22" t="s">
        <v>785</v>
      </c>
      <c r="F621" s="22" t="s">
        <v>20</v>
      </c>
      <c r="G621" s="23" t="n">
        <v>1</v>
      </c>
      <c r="H621" s="24" t="n">
        <v>202.09</v>
      </c>
      <c r="I621" s="24" t="n">
        <v>202.09</v>
      </c>
      <c r="J621" s="24" t="n">
        <v>0</v>
      </c>
      <c r="K621" s="24" t="n">
        <v>0</v>
      </c>
      <c r="L621" s="24" t="n">
        <v>0</v>
      </c>
      <c r="M621" s="6" t="s">
        <f>=I621+J621+K621+L621</f>
      </c>
      <c r="N621" s="24"/>
      <c r="O621" s="22"/>
    </row>
    <row collapsed="false" customFormat="false" customHeight="false" hidden="false" ht="12.1" outlineLevel="0" r="622">
      <c r="A622" s="25" t="n">
        <v>45931.478229167</v>
      </c>
      <c r="B622" s="26" t="s">
        <v>600</v>
      </c>
      <c r="C622" s="26" t="s">
        <v>742</v>
      </c>
      <c r="D622" s="26" t="s">
        <v>588</v>
      </c>
      <c r="E622" s="26" t="s">
        <v>18</v>
      </c>
      <c r="F622" s="26" t="s">
        <v>20</v>
      </c>
      <c r="G622" s="27" t="n">
        <v>-2</v>
      </c>
      <c r="H622" s="28" t="n">
        <v>66.6</v>
      </c>
      <c r="I622" s="28" t="n">
        <v>133.2</v>
      </c>
      <c r="J622" s="28" t="n">
        <v>0</v>
      </c>
      <c r="K622" s="28" t="n">
        <v>-0.11</v>
      </c>
      <c r="L622" s="28" t="n">
        <v>0</v>
      </c>
      <c r="M622" s="6" t="s">
        <f>=I622+J622+K622+L622</f>
      </c>
      <c r="N622" s="28"/>
      <c r="O622" s="26"/>
    </row>
    <row collapsed="false" customFormat="false" customHeight="false" hidden="false" ht="12.1" outlineLevel="0" r="623">
      <c r="A623" s="25" t="n">
        <v>45931.47962963</v>
      </c>
      <c r="B623" s="26" t="s">
        <v>240</v>
      </c>
      <c r="C623" s="26" t="s">
        <v>771</v>
      </c>
      <c r="D623" s="26" t="s">
        <v>588</v>
      </c>
      <c r="E623" s="26" t="s">
        <v>135</v>
      </c>
      <c r="F623" s="26" t="s">
        <v>20</v>
      </c>
      <c r="G623" s="27" t="n">
        <v>-2</v>
      </c>
      <c r="H623" s="28" t="n">
        <v>21.06</v>
      </c>
      <c r="I623" s="28" t="n">
        <v>421.2</v>
      </c>
      <c r="J623" s="28" t="n">
        <v>0</v>
      </c>
      <c r="K623" s="28" t="n">
        <v>-0.28</v>
      </c>
      <c r="L623" s="28" t="n">
        <v>0</v>
      </c>
      <c r="M623" s="6" t="s">
        <f>=I623+J623+K623+L623</f>
      </c>
      <c r="N623" s="28"/>
      <c r="O623" s="26"/>
    </row>
    <row collapsed="false" customFormat="false" customHeight="false" hidden="false" ht="12.1" outlineLevel="0" r="624">
      <c r="A624" s="20" t="n">
        <v>45931.517615741</v>
      </c>
      <c r="B624" s="16" t="s">
        <v>72</v>
      </c>
      <c r="C624" s="16" t="s">
        <v>822</v>
      </c>
      <c r="D624" s="16" t="s">
        <v>587</v>
      </c>
      <c r="E624" s="16" t="s">
        <v>18</v>
      </c>
      <c r="F624" s="16" t="s">
        <v>20</v>
      </c>
      <c r="G624" s="7" t="n">
        <v>10</v>
      </c>
      <c r="H624" s="6" t="n">
        <v>116.86</v>
      </c>
      <c r="I624" s="6" t="n">
        <v>-1168.6</v>
      </c>
      <c r="J624" s="6" t="n">
        <v>0</v>
      </c>
      <c r="K624" s="6" t="n">
        <v>-0.93</v>
      </c>
      <c r="L624" s="6" t="n">
        <v>0</v>
      </c>
      <c r="M624" s="6" t="s">
        <f>=I624+J624+K624+L624</f>
      </c>
      <c r="N624" s="6"/>
      <c r="O624" s="16"/>
    </row>
    <row collapsed="false" customFormat="false" customHeight="false" hidden="false" ht="12.1" outlineLevel="0" r="625">
      <c r="A625" s="25" t="n">
        <v>45931.51849537</v>
      </c>
      <c r="B625" s="26" t="s">
        <v>128</v>
      </c>
      <c r="C625" s="26" t="s">
        <v>721</v>
      </c>
      <c r="D625" s="26" t="s">
        <v>588</v>
      </c>
      <c r="E625" s="26" t="s">
        <v>122</v>
      </c>
      <c r="F625" s="26" t="s">
        <v>20</v>
      </c>
      <c r="G625" s="27" t="n">
        <v>-330</v>
      </c>
      <c r="H625" s="28" t="n">
        <v>1.8109</v>
      </c>
      <c r="I625" s="28" t="n">
        <v>597.6</v>
      </c>
      <c r="J625" s="28" t="n">
        <v>0</v>
      </c>
      <c r="K625" s="28" t="n">
        <v>0</v>
      </c>
      <c r="L625" s="28" t="n">
        <v>0</v>
      </c>
      <c r="M625" s="6" t="s">
        <f>=I625+J625+K625+L625</f>
      </c>
      <c r="N625" s="28"/>
      <c r="O625" s="26"/>
    </row>
    <row collapsed="false" customFormat="false" customHeight="false" hidden="false" ht="12.1" outlineLevel="0" r="626">
      <c r="A626" s="20" t="n">
        <v>45931.722256944</v>
      </c>
      <c r="B626" s="16" t="s">
        <v>128</v>
      </c>
      <c r="C626" s="16" t="s">
        <v>721</v>
      </c>
      <c r="D626" s="16" t="s">
        <v>587</v>
      </c>
      <c r="E626" s="16" t="s">
        <v>122</v>
      </c>
      <c r="F626" s="16" t="s">
        <v>20</v>
      </c>
      <c r="G626" s="7" t="n">
        <v>100</v>
      </c>
      <c r="H626" s="6" t="n">
        <v>1.811</v>
      </c>
      <c r="I626" s="6" t="n">
        <v>-181.1</v>
      </c>
      <c r="J626" s="6" t="n">
        <v>0</v>
      </c>
      <c r="K626" s="6" t="n">
        <v>0</v>
      </c>
      <c r="L626" s="6" t="n">
        <v>0</v>
      </c>
      <c r="M626" s="6" t="s">
        <f>=I626+J626+K626+L626</f>
      </c>
      <c r="N626" s="6"/>
      <c r="O626" s="16"/>
    </row>
    <row collapsed="false" customFormat="false" customHeight="false" hidden="false" ht="12.1" outlineLevel="0" r="627">
      <c r="A627" s="21" t="n">
        <v>45932.020636574</v>
      </c>
      <c r="B627" s="22" t="s">
        <v>785</v>
      </c>
      <c r="C627" s="22" t="s">
        <v>861</v>
      </c>
      <c r="D627" s="22" t="s">
        <v>785</v>
      </c>
      <c r="E627" s="22" t="s">
        <v>785</v>
      </c>
      <c r="F627" s="22" t="s">
        <v>20</v>
      </c>
      <c r="G627" s="23" t="n">
        <v>1</v>
      </c>
      <c r="H627" s="24" t="n">
        <v>256.3</v>
      </c>
      <c r="I627" s="24" t="n">
        <v>256.3</v>
      </c>
      <c r="J627" s="24" t="n">
        <v>0</v>
      </c>
      <c r="K627" s="24" t="n">
        <v>0</v>
      </c>
      <c r="L627" s="24" t="n">
        <v>0</v>
      </c>
      <c r="M627" s="6" t="s">
        <f>=I627+J627+K627+L627</f>
      </c>
      <c r="N627" s="24"/>
      <c r="O627" s="22"/>
    </row>
    <row collapsed="false" customFormat="false" customHeight="false" hidden="false" ht="12.1" outlineLevel="0" r="628">
      <c r="A628" s="20" t="n">
        <v>45933.63193287</v>
      </c>
      <c r="B628" s="16" t="s">
        <v>128</v>
      </c>
      <c r="C628" s="16" t="s">
        <v>721</v>
      </c>
      <c r="D628" s="16" t="s">
        <v>587</v>
      </c>
      <c r="E628" s="16" t="s">
        <v>122</v>
      </c>
      <c r="F628" s="16" t="s">
        <v>20</v>
      </c>
      <c r="G628" s="7" t="n">
        <v>150</v>
      </c>
      <c r="H628" s="6" t="n">
        <v>1.8144</v>
      </c>
      <c r="I628" s="6" t="n">
        <v>-272.16</v>
      </c>
      <c r="J628" s="6" t="n">
        <v>0</v>
      </c>
      <c r="K628" s="6" t="n">
        <v>0</v>
      </c>
      <c r="L628" s="6" t="n">
        <v>0</v>
      </c>
      <c r="M628" s="6" t="s">
        <f>=I628+J628+K628+L628</f>
      </c>
      <c r="N628" s="6"/>
      <c r="O628" s="16"/>
    </row>
    <row collapsed="false" customFormat="false" customHeight="false" hidden="false" ht="12.1" outlineLevel="0" r="629">
      <c r="A629" s="21" t="n">
        <v>45936.020636574</v>
      </c>
      <c r="B629" s="22" t="s">
        <v>785</v>
      </c>
      <c r="C629" s="22" t="s">
        <v>849</v>
      </c>
      <c r="D629" s="22" t="s">
        <v>785</v>
      </c>
      <c r="E629" s="22" t="s">
        <v>785</v>
      </c>
      <c r="F629" s="22" t="s">
        <v>20</v>
      </c>
      <c r="G629" s="23" t="n">
        <v>1</v>
      </c>
      <c r="H629" s="24" t="n">
        <v>400</v>
      </c>
      <c r="I629" s="24" t="n">
        <v>400</v>
      </c>
      <c r="J629" s="24" t="n">
        <v>0</v>
      </c>
      <c r="K629" s="24" t="n">
        <v>0</v>
      </c>
      <c r="L629" s="24" t="n">
        <v>0</v>
      </c>
      <c r="M629" s="6" t="s">
        <f>=I629+J629+K629+L629</f>
      </c>
      <c r="N629" s="24"/>
      <c r="O629" s="22"/>
    </row>
    <row collapsed="false" customFormat="false" customHeight="false" hidden="false" ht="12.1" outlineLevel="0" r="630">
      <c r="A630" s="20" t="n">
        <v>45936.822905093</v>
      </c>
      <c r="B630" s="16" t="s">
        <v>128</v>
      </c>
      <c r="C630" s="16" t="s">
        <v>721</v>
      </c>
      <c r="D630" s="16" t="s">
        <v>587</v>
      </c>
      <c r="E630" s="16" t="s">
        <v>122</v>
      </c>
      <c r="F630" s="16" t="s">
        <v>20</v>
      </c>
      <c r="G630" s="7" t="n">
        <v>220</v>
      </c>
      <c r="H630" s="6" t="n">
        <v>1.8152</v>
      </c>
      <c r="I630" s="6" t="n">
        <v>-399.34</v>
      </c>
      <c r="J630" s="6" t="n">
        <v>0</v>
      </c>
      <c r="K630" s="6" t="n">
        <v>0</v>
      </c>
      <c r="L630" s="6" t="n">
        <v>0</v>
      </c>
      <c r="M630" s="6" t="s">
        <f>=I630+J630+K630+L630</f>
      </c>
      <c r="N630" s="6"/>
      <c r="O630" s="16"/>
    </row>
    <row collapsed="false" customFormat="false" customHeight="false" hidden="false" ht="12.1" outlineLevel="0" r="631">
      <c r="A631" s="25" t="n">
        <v>45938.69962963</v>
      </c>
      <c r="B631" s="26" t="s">
        <v>596</v>
      </c>
      <c r="C631" s="26" t="s">
        <v>735</v>
      </c>
      <c r="D631" s="26" t="s">
        <v>588</v>
      </c>
      <c r="E631" s="26" t="s">
        <v>18</v>
      </c>
      <c r="F631" s="26" t="s">
        <v>20</v>
      </c>
      <c r="G631" s="27" t="n">
        <v>-1</v>
      </c>
      <c r="H631" s="28" t="n">
        <v>496</v>
      </c>
      <c r="I631" s="28" t="n">
        <v>496</v>
      </c>
      <c r="J631" s="28" t="n">
        <v>0</v>
      </c>
      <c r="K631" s="28" t="n">
        <v>-0.4</v>
      </c>
      <c r="L631" s="28" t="n">
        <v>0</v>
      </c>
      <c r="M631" s="6" t="s">
        <f>=I631+J631+K631+L631</f>
      </c>
      <c r="N631" s="28"/>
      <c r="O631" s="26"/>
    </row>
    <row collapsed="false" customFormat="false" customHeight="false" hidden="false" ht="12.1" outlineLevel="0" r="632">
      <c r="A632" s="20" t="n">
        <v>45938.702349537</v>
      </c>
      <c r="B632" s="16" t="s">
        <v>128</v>
      </c>
      <c r="C632" s="16" t="s">
        <v>721</v>
      </c>
      <c r="D632" s="16" t="s">
        <v>587</v>
      </c>
      <c r="E632" s="16" t="s">
        <v>122</v>
      </c>
      <c r="F632" s="16" t="s">
        <v>20</v>
      </c>
      <c r="G632" s="7" t="n">
        <v>260</v>
      </c>
      <c r="H632" s="6" t="n">
        <v>1.8168</v>
      </c>
      <c r="I632" s="6" t="n">
        <v>-472.37</v>
      </c>
      <c r="J632" s="6" t="n">
        <v>0</v>
      </c>
      <c r="K632" s="6" t="n">
        <v>0</v>
      </c>
      <c r="L632" s="6" t="n">
        <v>0</v>
      </c>
      <c r="M632" s="6" t="s">
        <f>=I632+J632+K632+L632</f>
      </c>
      <c r="N632" s="6"/>
      <c r="O632" s="16"/>
    </row>
    <row collapsed="false" customFormat="false" customHeight="false" hidden="false" ht="12.1" outlineLevel="0" r="633">
      <c r="A633" s="20" t="n">
        <v>45943.4428125</v>
      </c>
      <c r="B633" s="16" t="s">
        <v>22</v>
      </c>
      <c r="C633" s="16" t="s">
        <v>862</v>
      </c>
      <c r="D633" s="16" t="s">
        <v>587</v>
      </c>
      <c r="E633" s="16" t="s">
        <v>18</v>
      </c>
      <c r="F633" s="16" t="s">
        <v>20</v>
      </c>
      <c r="G633" s="7" t="n">
        <v>10000</v>
      </c>
      <c r="H633" s="6" t="n">
        <v>0.63644</v>
      </c>
      <c r="I633" s="6" t="n">
        <v>-6364.4</v>
      </c>
      <c r="J633" s="6" t="n">
        <v>0</v>
      </c>
      <c r="K633" s="6" t="n">
        <v>-5.1</v>
      </c>
      <c r="L633" s="6" t="n">
        <v>0</v>
      </c>
      <c r="M633" s="6" t="s">
        <f>=I633+J633+K633+L633</f>
      </c>
      <c r="N633" s="6"/>
      <c r="O633" s="16"/>
    </row>
    <row collapsed="false" customFormat="false" customHeight="false" hidden="false" ht="12.1" outlineLevel="0" r="634">
      <c r="A634" s="20" t="n">
        <v>45943.443460648</v>
      </c>
      <c r="B634" s="16" t="s">
        <v>618</v>
      </c>
      <c r="C634" s="16" t="s">
        <v>863</v>
      </c>
      <c r="D634" s="16" t="s">
        <v>587</v>
      </c>
      <c r="E634" s="16" t="s">
        <v>18</v>
      </c>
      <c r="F634" s="16" t="s">
        <v>20</v>
      </c>
      <c r="G634" s="7" t="n">
        <v>3</v>
      </c>
      <c r="H634" s="6" t="n">
        <v>2444</v>
      </c>
      <c r="I634" s="6" t="n">
        <v>-7332</v>
      </c>
      <c r="J634" s="6" t="n">
        <v>0</v>
      </c>
      <c r="K634" s="6" t="n">
        <v>-5.86</v>
      </c>
      <c r="L634" s="6" t="n">
        <v>0</v>
      </c>
      <c r="M634" s="6" t="s">
        <f>=I634+J634+K634+L634</f>
      </c>
      <c r="N634" s="6"/>
      <c r="O634" s="16"/>
    </row>
    <row collapsed="false" customFormat="false" customHeight="false" hidden="false" ht="12.1" outlineLevel="0" r="635">
      <c r="A635" s="25" t="n">
        <v>45943.444837963</v>
      </c>
      <c r="B635" s="26" t="s">
        <v>128</v>
      </c>
      <c r="C635" s="26" t="s">
        <v>721</v>
      </c>
      <c r="D635" s="26" t="s">
        <v>588</v>
      </c>
      <c r="E635" s="26" t="s">
        <v>122</v>
      </c>
      <c r="F635" s="26" t="s">
        <v>20</v>
      </c>
      <c r="G635" s="27" t="n">
        <v>-7520</v>
      </c>
      <c r="H635" s="28" t="n">
        <v>1.821</v>
      </c>
      <c r="I635" s="28" t="n">
        <v>13693.92</v>
      </c>
      <c r="J635" s="28" t="n">
        <v>0</v>
      </c>
      <c r="K635" s="28" t="n">
        <v>0</v>
      </c>
      <c r="L635" s="28" t="n">
        <v>0</v>
      </c>
      <c r="M635" s="6" t="s">
        <f>=I635+J635+K635+L635</f>
      </c>
      <c r="N635" s="28"/>
      <c r="O635" s="26"/>
    </row>
    <row collapsed="false" customFormat="false" customHeight="false" hidden="false" ht="12.1" outlineLevel="0" r="636">
      <c r="A636" s="21" t="n">
        <v>45950.020636574</v>
      </c>
      <c r="B636" s="22" t="s">
        <v>710</v>
      </c>
      <c r="C636" s="22" t="s">
        <v>535</v>
      </c>
      <c r="D636" s="22" t="s">
        <v>710</v>
      </c>
      <c r="E636" s="22" t="s">
        <v>710</v>
      </c>
      <c r="F636" s="22" t="s">
        <v>20</v>
      </c>
      <c r="G636" s="23" t="n">
        <v>1</v>
      </c>
      <c r="H636" s="24" t="n">
        <v>400000</v>
      </c>
      <c r="I636" s="24" t="n">
        <v>400000</v>
      </c>
      <c r="J636" s="24" t="n">
        <v>0</v>
      </c>
      <c r="K636" s="24" t="n">
        <v>0</v>
      </c>
      <c r="L636" s="24" t="n">
        <v>0</v>
      </c>
      <c r="M636" s="6" t="s">
        <f>=I636+J636+K636+L636</f>
      </c>
      <c r="N636" s="24"/>
      <c r="O636" s="22"/>
    </row>
    <row collapsed="false" customFormat="false" customHeight="false" hidden="false" ht="12.1" outlineLevel="0" r="637">
      <c r="A637" s="20" t="n">
        <v>45950.453900463</v>
      </c>
      <c r="B637" s="16" t="s">
        <v>128</v>
      </c>
      <c r="C637" s="16" t="s">
        <v>721</v>
      </c>
      <c r="D637" s="16" t="s">
        <v>587</v>
      </c>
      <c r="E637" s="16" t="s">
        <v>122</v>
      </c>
      <c r="F637" s="16" t="s">
        <v>20</v>
      </c>
      <c r="G637" s="7" t="n">
        <v>210000</v>
      </c>
      <c r="H637" s="6" t="n">
        <v>1.8269</v>
      </c>
      <c r="I637" s="6" t="n">
        <v>-383649</v>
      </c>
      <c r="J637" s="6" t="n">
        <v>0</v>
      </c>
      <c r="K637" s="6" t="n">
        <v>0</v>
      </c>
      <c r="L637" s="6" t="n">
        <v>0</v>
      </c>
      <c r="M637" s="6" t="s">
        <f>=I637+J637+K637+L637</f>
      </c>
      <c r="N637" s="6"/>
      <c r="O637" s="16"/>
    </row>
    <row collapsed="false" customFormat="false" customHeight="false" hidden="false" ht="12.1" outlineLevel="0" r="638">
      <c r="A638" s="20" t="n">
        <v>45950.461331019</v>
      </c>
      <c r="B638" s="16" t="s">
        <v>22</v>
      </c>
      <c r="C638" s="16" t="s">
        <v>862</v>
      </c>
      <c r="D638" s="16" t="s">
        <v>587</v>
      </c>
      <c r="E638" s="16" t="s">
        <v>18</v>
      </c>
      <c r="F638" s="16" t="s">
        <v>20</v>
      </c>
      <c r="G638" s="7" t="n">
        <v>25000</v>
      </c>
      <c r="H638" s="6" t="n">
        <v>0.639392</v>
      </c>
      <c r="I638" s="6" t="n">
        <v>-15984.8</v>
      </c>
      <c r="J638" s="6" t="n">
        <v>0</v>
      </c>
      <c r="K638" s="6" t="n">
        <v>-12.79</v>
      </c>
      <c r="L638" s="6" t="n">
        <v>0</v>
      </c>
      <c r="M638" s="6" t="s">
        <f>=I638+J638+K638+L638</f>
      </c>
      <c r="N638" s="6"/>
      <c r="O638" s="16"/>
    </row>
    <row collapsed="false" customFormat="false" customHeight="false" hidden="false" ht="12.1" outlineLevel="0" r="639">
      <c r="A639" s="20" t="n">
        <v>45951.750578704</v>
      </c>
      <c r="B639" s="16" t="s">
        <v>128</v>
      </c>
      <c r="C639" s="16" t="s">
        <v>721</v>
      </c>
      <c r="D639" s="16" t="s">
        <v>587</v>
      </c>
      <c r="E639" s="16" t="s">
        <v>122</v>
      </c>
      <c r="F639" s="16" t="s">
        <v>20</v>
      </c>
      <c r="G639" s="7" t="n">
        <v>200</v>
      </c>
      <c r="H639" s="6" t="n">
        <v>1.8277</v>
      </c>
      <c r="I639" s="6" t="n">
        <v>-365.54</v>
      </c>
      <c r="J639" s="6" t="n">
        <v>0</v>
      </c>
      <c r="K639" s="6" t="n">
        <v>0</v>
      </c>
      <c r="L639" s="6" t="n">
        <v>0</v>
      </c>
      <c r="M639" s="6" t="s">
        <f>=I639+J639+K639+L639</f>
      </c>
      <c r="N639" s="6"/>
      <c r="O639" s="16"/>
    </row>
    <row collapsed="false" customFormat="false" customHeight="false" hidden="false" ht="12.1" outlineLevel="0" r="640">
      <c r="A640" s="21" t="n">
        <v>45962.020636574</v>
      </c>
      <c r="B640" s="22" t="s">
        <v>785</v>
      </c>
      <c r="C640" s="22" t="s">
        <v>864</v>
      </c>
      <c r="D640" s="22" t="s">
        <v>785</v>
      </c>
      <c r="E640" s="22" t="s">
        <v>785</v>
      </c>
      <c r="F640" s="22" t="s">
        <v>20</v>
      </c>
      <c r="G640" s="23" t="n">
        <v>1</v>
      </c>
      <c r="H640" s="24" t="n">
        <v>219.17</v>
      </c>
      <c r="I640" s="24" t="n">
        <v>219.17</v>
      </c>
      <c r="J640" s="24" t="n">
        <v>0</v>
      </c>
      <c r="K640" s="24" t="n">
        <v>0</v>
      </c>
      <c r="L640" s="24" t="n">
        <v>0</v>
      </c>
      <c r="M640" s="6" t="s">
        <f>=I640+J640+K640+L640</f>
      </c>
      <c r="N640" s="24"/>
      <c r="O640" s="22"/>
    </row>
    <row collapsed="false" customFormat="false" customHeight="false" hidden="false" ht="12.1" outlineLevel="0" r="641">
      <c r="A641" s="20" t="n">
        <v>45962.646840278</v>
      </c>
      <c r="B641" s="16" t="s">
        <v>128</v>
      </c>
      <c r="C641" s="16" t="s">
        <v>721</v>
      </c>
      <c r="D641" s="16" t="s">
        <v>587</v>
      </c>
      <c r="E641" s="16" t="s">
        <v>122</v>
      </c>
      <c r="F641" s="16" t="s">
        <v>20</v>
      </c>
      <c r="G641" s="7" t="n">
        <v>120</v>
      </c>
      <c r="H641" s="6" t="n">
        <v>1.8372</v>
      </c>
      <c r="I641" s="6" t="n">
        <v>-220.46</v>
      </c>
      <c r="J641" s="6" t="n">
        <v>0</v>
      </c>
      <c r="K641" s="6" t="n">
        <v>0</v>
      </c>
      <c r="L641" s="6" t="n">
        <v>0</v>
      </c>
      <c r="M641" s="6" t="s">
        <f>=I641+J641+K641+L641</f>
      </c>
      <c r="N641" s="6"/>
      <c r="O641" s="16"/>
    </row>
    <row collapsed="false" customFormat="false" customHeight="false" hidden="false" ht="12.1" outlineLevel="0" r="642">
      <c r="A642" s="21" t="n">
        <v>45966.020636574</v>
      </c>
      <c r="B642" s="22" t="s">
        <v>785</v>
      </c>
      <c r="C642" s="22" t="s">
        <v>849</v>
      </c>
      <c r="D642" s="22" t="s">
        <v>785</v>
      </c>
      <c r="E642" s="22" t="s">
        <v>785</v>
      </c>
      <c r="F642" s="22" t="s">
        <v>20</v>
      </c>
      <c r="G642" s="23" t="n">
        <v>2</v>
      </c>
      <c r="H642" s="24" t="n">
        <v>340.3</v>
      </c>
      <c r="I642" s="24" t="n">
        <v>680.6</v>
      </c>
      <c r="J642" s="24" t="n">
        <v>0</v>
      </c>
      <c r="K642" s="24" t="n">
        <v>0</v>
      </c>
      <c r="L642" s="24" t="n">
        <v>0</v>
      </c>
      <c r="M642" s="6" t="s">
        <f>=I642+J642+K642+L642</f>
      </c>
      <c r="N642" s="24"/>
      <c r="O642" s="22"/>
    </row>
    <row collapsed="false" customFormat="false" customHeight="false" hidden="false" ht="12.1" outlineLevel="0" r="643">
      <c r="A643" s="20" t="n">
        <v>45966.854224537</v>
      </c>
      <c r="B643" s="16" t="s">
        <v>128</v>
      </c>
      <c r="C643" s="16" t="s">
        <v>721</v>
      </c>
      <c r="D643" s="16" t="s">
        <v>587</v>
      </c>
      <c r="E643" s="16" t="s">
        <v>122</v>
      </c>
      <c r="F643" s="16" t="s">
        <v>20</v>
      </c>
      <c r="G643" s="7" t="n">
        <v>370</v>
      </c>
      <c r="H643" s="6" t="n">
        <v>1.8396</v>
      </c>
      <c r="I643" s="6" t="n">
        <v>-680.65</v>
      </c>
      <c r="J643" s="6" t="n">
        <v>0</v>
      </c>
      <c r="K643" s="6" t="n">
        <v>0</v>
      </c>
      <c r="L643" s="6" t="n">
        <v>0</v>
      </c>
      <c r="M643" s="6" t="s">
        <f>=I643+J643+K643+L643</f>
      </c>
      <c r="N643" s="6"/>
      <c r="O643" s="16"/>
    </row>
    <row collapsed="false" customFormat="false" customHeight="false" hidden="false" ht="12.1" outlineLevel="0" r="644">
      <c r="A644" s="20" t="n">
        <v>45971.521030093</v>
      </c>
      <c r="B644" s="16" t="s">
        <v>177</v>
      </c>
      <c r="C644" s="16" t="s">
        <v>755</v>
      </c>
      <c r="D644" s="16" t="s">
        <v>587</v>
      </c>
      <c r="E644" s="16" t="s">
        <v>135</v>
      </c>
      <c r="F644" s="16" t="s">
        <v>20</v>
      </c>
      <c r="G644" s="7" t="n">
        <v>10</v>
      </c>
      <c r="H644" s="6" t="n">
        <v>89</v>
      </c>
      <c r="I644" s="6" t="n">
        <v>-8900</v>
      </c>
      <c r="J644" s="6" t="n">
        <v>-56.3</v>
      </c>
      <c r="K644" s="6" t="n">
        <v>-5.34</v>
      </c>
      <c r="L644" s="6" t="n">
        <v>0</v>
      </c>
      <c r="M644" s="6" t="s">
        <f>=I644+J644+K644+L644</f>
      </c>
      <c r="N644" s="6"/>
      <c r="O644" s="16"/>
    </row>
    <row collapsed="false" customFormat="false" customHeight="false" hidden="false" ht="12.1" outlineLevel="0" r="645">
      <c r="A645" s="20" t="n">
        <v>45971.521898148</v>
      </c>
      <c r="B645" s="16" t="s">
        <v>147</v>
      </c>
      <c r="C645" s="16" t="s">
        <v>756</v>
      </c>
      <c r="D645" s="16" t="s">
        <v>587</v>
      </c>
      <c r="E645" s="16" t="s">
        <v>135</v>
      </c>
      <c r="F645" s="16" t="s">
        <v>20</v>
      </c>
      <c r="G645" s="7" t="n">
        <v>10</v>
      </c>
      <c r="H645" s="6" t="n">
        <v>94.16</v>
      </c>
      <c r="I645" s="6" t="n">
        <v>-9416</v>
      </c>
      <c r="J645" s="6" t="n">
        <v>-82</v>
      </c>
      <c r="K645" s="6" t="n">
        <v>-5.65</v>
      </c>
      <c r="L645" s="6" t="n">
        <v>0</v>
      </c>
      <c r="M645" s="6" t="s">
        <f>=I645+J645+K645+L645</f>
      </c>
      <c r="N645" s="6"/>
      <c r="O645" s="16"/>
    </row>
    <row collapsed="false" customFormat="false" customHeight="false" hidden="false" ht="12.1" outlineLevel="0" r="646">
      <c r="A646" s="20" t="n">
        <v>45971.523194444</v>
      </c>
      <c r="B646" s="16" t="s">
        <v>124</v>
      </c>
      <c r="C646" s="16" t="s">
        <v>719</v>
      </c>
      <c r="D646" s="16" t="s">
        <v>587</v>
      </c>
      <c r="E646" s="16" t="s">
        <v>122</v>
      </c>
      <c r="F646" s="16" t="s">
        <v>20</v>
      </c>
      <c r="G646" s="7" t="n">
        <v>800</v>
      </c>
      <c r="H646" s="6" t="n">
        <v>132.4</v>
      </c>
      <c r="I646" s="6" t="n">
        <v>-105920</v>
      </c>
      <c r="J646" s="6" t="n">
        <v>0</v>
      </c>
      <c r="K646" s="6" t="n">
        <v>-21.18</v>
      </c>
      <c r="L646" s="6" t="n">
        <v>0</v>
      </c>
      <c r="M646" s="6" t="s">
        <f>=I646+J646+K646+L646</f>
      </c>
      <c r="N646" s="6"/>
      <c r="O646" s="16"/>
    </row>
    <row collapsed="false" customFormat="false" customHeight="false" hidden="false" ht="12.1" outlineLevel="0" r="647">
      <c r="A647" s="20" t="n">
        <v>45971.525104167</v>
      </c>
      <c r="B647" s="16" t="s">
        <v>31</v>
      </c>
      <c r="C647" s="16" t="s">
        <v>714</v>
      </c>
      <c r="D647" s="16" t="s">
        <v>587</v>
      </c>
      <c r="E647" s="16" t="s">
        <v>18</v>
      </c>
      <c r="F647" s="16" t="s">
        <v>20</v>
      </c>
      <c r="G647" s="7" t="n">
        <v>100</v>
      </c>
      <c r="H647" s="6" t="n">
        <v>70.46</v>
      </c>
      <c r="I647" s="6" t="n">
        <v>-7046</v>
      </c>
      <c r="J647" s="6" t="n">
        <v>0</v>
      </c>
      <c r="K647" s="6" t="n">
        <v>-5.64</v>
      </c>
      <c r="L647" s="6" t="n">
        <v>0</v>
      </c>
      <c r="M647" s="6" t="s">
        <f>=I647+J647+K647+L647</f>
      </c>
      <c r="N647" s="6"/>
      <c r="O647" s="16"/>
    </row>
    <row collapsed="false" customFormat="false" customHeight="false" hidden="false" ht="12.1" outlineLevel="0" r="648">
      <c r="A648" s="25" t="n">
        <v>45971.528391204</v>
      </c>
      <c r="B648" s="26" t="s">
        <v>128</v>
      </c>
      <c r="C648" s="26" t="s">
        <v>721</v>
      </c>
      <c r="D648" s="26" t="s">
        <v>588</v>
      </c>
      <c r="E648" s="26" t="s">
        <v>122</v>
      </c>
      <c r="F648" s="26" t="s">
        <v>20</v>
      </c>
      <c r="G648" s="27" t="n">
        <v>-77630</v>
      </c>
      <c r="H648" s="28" t="n">
        <v>1.8435</v>
      </c>
      <c r="I648" s="28" t="n">
        <v>143110.91</v>
      </c>
      <c r="J648" s="28" t="n">
        <v>0</v>
      </c>
      <c r="K648" s="28" t="n">
        <v>0</v>
      </c>
      <c r="L648" s="28" t="n">
        <v>0</v>
      </c>
      <c r="M648" s="6" t="s">
        <f>=I648+J648+K648+L648</f>
      </c>
      <c r="N648" s="28"/>
      <c r="O648" s="26"/>
    </row>
    <row collapsed="false" customFormat="false" customHeight="false" hidden="false" ht="12.1" outlineLevel="0" r="649">
      <c r="A649" s="20" t="n">
        <v>45971.650578704</v>
      </c>
      <c r="B649" s="16" t="s">
        <v>25</v>
      </c>
      <c r="C649" s="16" t="s">
        <v>730</v>
      </c>
      <c r="D649" s="16" t="s">
        <v>587</v>
      </c>
      <c r="E649" s="16" t="s">
        <v>18</v>
      </c>
      <c r="F649" s="16" t="s">
        <v>20</v>
      </c>
      <c r="G649" s="7" t="n">
        <v>300</v>
      </c>
      <c r="H649" s="6" t="n">
        <v>38.49</v>
      </c>
      <c r="I649" s="6" t="n">
        <v>-11547</v>
      </c>
      <c r="J649" s="6" t="n">
        <v>0</v>
      </c>
      <c r="K649" s="6" t="n">
        <v>-9.23</v>
      </c>
      <c r="L649" s="6" t="n">
        <v>0</v>
      </c>
      <c r="M649" s="6" t="s">
        <f>=I649+J649+K649+L649</f>
      </c>
      <c r="N649" s="6"/>
      <c r="O649" s="16"/>
    </row>
    <row collapsed="false" customFormat="false" customHeight="false" hidden="false" ht="12.1" outlineLevel="0" r="650">
      <c r="A650" s="21" t="n">
        <v>45973.020636574</v>
      </c>
      <c r="B650" s="22" t="s">
        <v>710</v>
      </c>
      <c r="C650" s="22" t="s">
        <v>544</v>
      </c>
      <c r="D650" s="22" t="s">
        <v>710</v>
      </c>
      <c r="E650" s="22" t="s">
        <v>710</v>
      </c>
      <c r="F650" s="22" t="s">
        <v>20</v>
      </c>
      <c r="G650" s="23" t="n">
        <v>1</v>
      </c>
      <c r="H650" s="24" t="n">
        <v>20</v>
      </c>
      <c r="I650" s="24" t="n">
        <v>20</v>
      </c>
      <c r="J650" s="24" t="n">
        <v>0</v>
      </c>
      <c r="K650" s="24" t="n">
        <v>0</v>
      </c>
      <c r="L650" s="24" t="n">
        <v>0</v>
      </c>
      <c r="M650" s="6" t="s">
        <f>=I650+J650+K650+L650</f>
      </c>
      <c r="N650" s="24"/>
      <c r="O650" s="22"/>
    </row>
    <row collapsed="false" customFormat="false" customHeight="false" hidden="false" ht="12.1" outlineLevel="0" r="651">
      <c r="A651" s="21" t="n">
        <v>45973.020636574</v>
      </c>
      <c r="B651" s="22" t="s">
        <v>785</v>
      </c>
      <c r="C651" s="22" t="s">
        <v>865</v>
      </c>
      <c r="D651" s="22" t="s">
        <v>785</v>
      </c>
      <c r="E651" s="22" t="s">
        <v>785</v>
      </c>
      <c r="F651" s="22" t="s">
        <v>20</v>
      </c>
      <c r="G651" s="23" t="n">
        <v>1</v>
      </c>
      <c r="H651" s="24" t="n">
        <v>10000</v>
      </c>
      <c r="I651" s="24" t="n">
        <v>10000</v>
      </c>
      <c r="J651" s="24" t="n">
        <v>0</v>
      </c>
      <c r="K651" s="24" t="n">
        <v>0</v>
      </c>
      <c r="L651" s="24" t="n">
        <v>0</v>
      </c>
      <c r="M651" s="6" t="s">
        <f>=I651+J651+K651+L651</f>
      </c>
      <c r="N651" s="24"/>
      <c r="O651" s="22"/>
    </row>
    <row collapsed="false" customFormat="false" customHeight="false" hidden="false" ht="12.1" outlineLevel="0" r="652">
      <c r="A652" s="20" t="n">
        <v>45973.670451389</v>
      </c>
      <c r="B652" s="16" t="s">
        <v>124</v>
      </c>
      <c r="C652" s="16" t="s">
        <v>719</v>
      </c>
      <c r="D652" s="16" t="s">
        <v>587</v>
      </c>
      <c r="E652" s="16" t="s">
        <v>122</v>
      </c>
      <c r="F652" s="16" t="s">
        <v>20</v>
      </c>
      <c r="G652" s="7" t="n">
        <v>78</v>
      </c>
      <c r="H652" s="6" t="n">
        <v>129.7</v>
      </c>
      <c r="I652" s="6" t="n">
        <v>-10116.6</v>
      </c>
      <c r="J652" s="6" t="n">
        <v>0</v>
      </c>
      <c r="K652" s="6" t="n">
        <v>-2.02</v>
      </c>
      <c r="L652" s="6" t="n">
        <v>0</v>
      </c>
      <c r="M652" s="6" t="s">
        <f>=I652+J652+K652+L652</f>
      </c>
      <c r="N652" s="6"/>
      <c r="O652" s="16"/>
    </row>
    <row collapsed="false" customFormat="false" customHeight="false" hidden="false" ht="12.1" outlineLevel="0" r="653">
      <c r="A653" s="21" t="n">
        <v>45974.020636574</v>
      </c>
      <c r="B653" s="22" t="s">
        <v>785</v>
      </c>
      <c r="C653" s="22" t="s">
        <v>866</v>
      </c>
      <c r="D653" s="22" t="s">
        <v>785</v>
      </c>
      <c r="E653" s="22" t="s">
        <v>785</v>
      </c>
      <c r="F653" s="22" t="s">
        <v>20</v>
      </c>
      <c r="G653" s="23" t="n">
        <v>1</v>
      </c>
      <c r="H653" s="24" t="n">
        <v>500</v>
      </c>
      <c r="I653" s="24" t="n">
        <v>500</v>
      </c>
      <c r="J653" s="24" t="n">
        <v>0</v>
      </c>
      <c r="K653" s="24" t="n">
        <v>0</v>
      </c>
      <c r="L653" s="24" t="n">
        <v>0</v>
      </c>
      <c r="M653" s="6" t="s">
        <f>=I653+J653+K653+L653</f>
      </c>
      <c r="N653" s="24"/>
      <c r="O653" s="22"/>
    </row>
    <row collapsed="false" customFormat="false" customHeight="false" hidden="false" ht="12.1" outlineLevel="0" r="654">
      <c r="A654" s="20" t="n">
        <v>45974.628125</v>
      </c>
      <c r="B654" s="16" t="s">
        <v>124</v>
      </c>
      <c r="C654" s="16" t="s">
        <v>719</v>
      </c>
      <c r="D654" s="16" t="s">
        <v>587</v>
      </c>
      <c r="E654" s="16" t="s">
        <v>122</v>
      </c>
      <c r="F654" s="16" t="s">
        <v>20</v>
      </c>
      <c r="G654" s="7" t="n">
        <v>3</v>
      </c>
      <c r="H654" s="6" t="n">
        <v>129.7</v>
      </c>
      <c r="I654" s="6" t="n">
        <v>-389.1</v>
      </c>
      <c r="J654" s="6" t="n">
        <v>0</v>
      </c>
      <c r="K654" s="6" t="n">
        <v>-0.08</v>
      </c>
      <c r="L654" s="6" t="n">
        <v>0</v>
      </c>
      <c r="M654" s="6" t="s">
        <f>=I654+J654+K654+L654</f>
      </c>
      <c r="N654" s="6"/>
      <c r="O654" s="16"/>
    </row>
    <row collapsed="false" customFormat="false" customHeight="false" hidden="false" ht="12.1" outlineLevel="0" r="655">
      <c r="A655" s="20" t="n">
        <v>45980.772986111</v>
      </c>
      <c r="B655" s="16" t="s">
        <v>128</v>
      </c>
      <c r="C655" s="16" t="s">
        <v>721</v>
      </c>
      <c r="D655" s="16" t="s">
        <v>587</v>
      </c>
      <c r="E655" s="16" t="s">
        <v>122</v>
      </c>
      <c r="F655" s="16" t="s">
        <v>20</v>
      </c>
      <c r="G655" s="7" t="n">
        <v>60</v>
      </c>
      <c r="H655" s="6" t="n">
        <v>1.8509</v>
      </c>
      <c r="I655" s="6" t="n">
        <v>-111.05</v>
      </c>
      <c r="J655" s="6" t="n">
        <v>0</v>
      </c>
      <c r="K655" s="6" t="n">
        <v>0</v>
      </c>
      <c r="L655" s="6" t="n">
        <v>0</v>
      </c>
      <c r="M655" s="6" t="s">
        <f>=I655+J655+K655+L655</f>
      </c>
      <c r="N655" s="6"/>
      <c r="O655" s="16"/>
    </row>
    <row collapsed="false" customFormat="false" customHeight="false" hidden="false" ht="12.1" outlineLevel="0" r="656">
      <c r="A656" s="21" t="n">
        <v>45992.020636574</v>
      </c>
      <c r="B656" s="22" t="s">
        <v>785</v>
      </c>
      <c r="C656" s="22" t="s">
        <v>867</v>
      </c>
      <c r="D656" s="22" t="s">
        <v>785</v>
      </c>
      <c r="E656" s="22" t="s">
        <v>785</v>
      </c>
      <c r="F656" s="22" t="s">
        <v>20</v>
      </c>
      <c r="G656" s="23" t="n">
        <v>1</v>
      </c>
      <c r="H656" s="24" t="n">
        <v>209.86</v>
      </c>
      <c r="I656" s="24" t="n">
        <v>209.86</v>
      </c>
      <c r="J656" s="24" t="n">
        <v>0</v>
      </c>
      <c r="K656" s="24" t="n">
        <v>0</v>
      </c>
      <c r="L656" s="24" t="n">
        <v>0</v>
      </c>
      <c r="M656" s="6" t="s">
        <f>=I656+J656+K656+L656</f>
      </c>
      <c r="N656" s="24"/>
      <c r="O656" s="22"/>
    </row>
    <row collapsed="false" customFormat="false" customHeight="false" hidden="false" ht="12.1" outlineLevel="0" r="657">
      <c r="A657" s="20" t="n">
        <v>45992.741585648</v>
      </c>
      <c r="B657" s="16" t="s">
        <v>128</v>
      </c>
      <c r="C657" s="16" t="s">
        <v>721</v>
      </c>
      <c r="D657" s="16" t="s">
        <v>587</v>
      </c>
      <c r="E657" s="16" t="s">
        <v>122</v>
      </c>
      <c r="F657" s="16" t="s">
        <v>20</v>
      </c>
      <c r="G657" s="7" t="n">
        <v>110</v>
      </c>
      <c r="H657" s="6" t="n">
        <v>1.861</v>
      </c>
      <c r="I657" s="6" t="n">
        <v>-204.71</v>
      </c>
      <c r="J657" s="6" t="n">
        <v>0</v>
      </c>
      <c r="K657" s="6" t="n">
        <v>0</v>
      </c>
      <c r="L657" s="6" t="n">
        <v>0</v>
      </c>
      <c r="M657" s="6" t="s">
        <f>=I657+J657+K657+L657</f>
      </c>
      <c r="N657" s="6"/>
      <c r="O657" s="16"/>
    </row>
    <row collapsed="false" customFormat="false" customHeight="false" hidden="false" ht="12.1" outlineLevel="0" r="658">
      <c r="A658" s="21" t="n">
        <v>45993.020636574</v>
      </c>
      <c r="B658" s="22" t="s">
        <v>785</v>
      </c>
      <c r="C658" s="22" t="s">
        <v>868</v>
      </c>
      <c r="D658" s="22" t="s">
        <v>785</v>
      </c>
      <c r="E658" s="22" t="s">
        <v>785</v>
      </c>
      <c r="F658" s="22" t="s">
        <v>20</v>
      </c>
      <c r="G658" s="23" t="n">
        <v>1</v>
      </c>
      <c r="H658" s="24" t="n">
        <v>257.9</v>
      </c>
      <c r="I658" s="24" t="n">
        <v>257.9</v>
      </c>
      <c r="J658" s="24" t="n">
        <v>0</v>
      </c>
      <c r="K658" s="24" t="n">
        <v>0</v>
      </c>
      <c r="L658" s="24" t="n">
        <v>0</v>
      </c>
      <c r="M658" s="6" t="s">
        <f>=I658+J658+K658+L658</f>
      </c>
      <c r="N658" s="24"/>
      <c r="O658" s="22"/>
    </row>
    <row collapsed="false" customFormat="false" customHeight="false" hidden="false" ht="12.1" outlineLevel="0" r="659">
      <c r="A659" s="21" t="n">
        <v>45994.020636574</v>
      </c>
      <c r="B659" s="22" t="s">
        <v>710</v>
      </c>
      <c r="C659" s="22" t="s">
        <v>544</v>
      </c>
      <c r="D659" s="22" t="s">
        <v>710</v>
      </c>
      <c r="E659" s="22" t="s">
        <v>710</v>
      </c>
      <c r="F659" s="22" t="s">
        <v>20</v>
      </c>
      <c r="G659" s="23" t="n">
        <v>1</v>
      </c>
      <c r="H659" s="24" t="n">
        <v>10</v>
      </c>
      <c r="I659" s="24" t="n">
        <v>10</v>
      </c>
      <c r="J659" s="24" t="n">
        <v>0</v>
      </c>
      <c r="K659" s="24" t="n">
        <v>0</v>
      </c>
      <c r="L659" s="24" t="n">
        <v>0</v>
      </c>
      <c r="M659" s="6" t="s">
        <f>=I659+J659+K659+L659</f>
      </c>
      <c r="N659" s="24"/>
      <c r="O659" s="22"/>
    </row>
    <row collapsed="false" customFormat="false" customHeight="false" hidden="false" ht="12.1" outlineLevel="0" r="660">
      <c r="A660" s="20" t="n">
        <v>45994.815</v>
      </c>
      <c r="B660" s="16" t="s">
        <v>128</v>
      </c>
      <c r="C660" s="16" t="s">
        <v>721</v>
      </c>
      <c r="D660" s="16" t="s">
        <v>587</v>
      </c>
      <c r="E660" s="16" t="s">
        <v>122</v>
      </c>
      <c r="F660" s="16" t="s">
        <v>20</v>
      </c>
      <c r="G660" s="7" t="n">
        <v>150</v>
      </c>
      <c r="H660" s="6" t="n">
        <v>1.8626</v>
      </c>
      <c r="I660" s="6" t="n">
        <v>-279.39</v>
      </c>
      <c r="J660" s="6" t="n">
        <v>0</v>
      </c>
      <c r="K660" s="6" t="n">
        <v>0</v>
      </c>
      <c r="L660" s="6" t="n">
        <v>0</v>
      </c>
      <c r="M660" s="6" t="s">
        <f>=I660+J660+K660+L660</f>
      </c>
      <c r="N660" s="6"/>
      <c r="O660" s="16"/>
    </row>
    <row collapsed="false" customFormat="false" customHeight="false" hidden="false" ht="12.1" outlineLevel="0" r="661">
      <c r="A661" s="21" t="n">
        <v>45996.020636574</v>
      </c>
      <c r="B661" s="22" t="s">
        <v>785</v>
      </c>
      <c r="C661" s="22" t="s">
        <v>849</v>
      </c>
      <c r="D661" s="22" t="s">
        <v>785</v>
      </c>
      <c r="E661" s="22" t="s">
        <v>785</v>
      </c>
      <c r="F661" s="22" t="s">
        <v>20</v>
      </c>
      <c r="G661" s="23" t="n">
        <v>1</v>
      </c>
      <c r="H661" s="24" t="n">
        <v>400</v>
      </c>
      <c r="I661" s="24" t="n">
        <v>400</v>
      </c>
      <c r="J661" s="24" t="n">
        <v>0</v>
      </c>
      <c r="K661" s="24" t="n">
        <v>0</v>
      </c>
      <c r="L661" s="24" t="n">
        <v>0</v>
      </c>
      <c r="M661" s="6" t="s">
        <f>=I661+J661+K661+L661</f>
      </c>
      <c r="N661" s="24"/>
      <c r="O661" s="22"/>
    </row>
    <row collapsed="false" customFormat="false" customHeight="false" hidden="false" ht="12.1" outlineLevel="0" r="662">
      <c r="A662" s="20" t="n">
        <v>45999.546319444</v>
      </c>
      <c r="B662" s="16" t="s">
        <v>128</v>
      </c>
      <c r="C662" s="16" t="s">
        <v>721</v>
      </c>
      <c r="D662" s="16" t="s">
        <v>587</v>
      </c>
      <c r="E662" s="16" t="s">
        <v>122</v>
      </c>
      <c r="F662" s="16" t="s">
        <v>20</v>
      </c>
      <c r="G662" s="7" t="n">
        <v>200</v>
      </c>
      <c r="H662" s="6" t="n">
        <v>1.8665</v>
      </c>
      <c r="I662" s="6" t="n">
        <v>-373.3</v>
      </c>
      <c r="J662" s="6" t="n">
        <v>0</v>
      </c>
      <c r="K662" s="6" t="n">
        <v>0</v>
      </c>
      <c r="L662" s="6" t="n">
        <v>0</v>
      </c>
      <c r="M662" s="6" t="s">
        <f>=I662+J662+K662+L662</f>
      </c>
      <c r="N662" s="6"/>
      <c r="O662" s="16"/>
    </row>
    <row collapsed="false" customFormat="false" customHeight="false" hidden="false" ht="12.1" outlineLevel="0" r="663">
      <c r="A663" s="21" t="n">
        <v>46001.020636574</v>
      </c>
      <c r="B663" s="22" t="s">
        <v>785</v>
      </c>
      <c r="C663" s="22" t="s">
        <v>869</v>
      </c>
      <c r="D663" s="22" t="s">
        <v>785</v>
      </c>
      <c r="E663" s="22" t="s">
        <v>785</v>
      </c>
      <c r="F663" s="22" t="s">
        <v>20</v>
      </c>
      <c r="G663" s="23" t="n">
        <v>1</v>
      </c>
      <c r="H663" s="24" t="n">
        <v>18.64</v>
      </c>
      <c r="I663" s="24" t="n">
        <v>18.64</v>
      </c>
      <c r="J663" s="24" t="n">
        <v>0</v>
      </c>
      <c r="K663" s="24" t="n">
        <v>0</v>
      </c>
      <c r="L663" s="24" t="n">
        <v>0</v>
      </c>
      <c r="M663" s="6" t="s">
        <f>=I663+J663+K663+L663</f>
      </c>
      <c r="N663" s="24"/>
      <c r="O663" s="22"/>
    </row>
    <row collapsed="false" customFormat="false" customHeight="false" hidden="false" ht="12.1" outlineLevel="0" r="664">
      <c r="A664" s="25" t="n">
        <v>46001.531006944</v>
      </c>
      <c r="B664" s="26" t="s">
        <v>618</v>
      </c>
      <c r="C664" s="26" t="s">
        <v>863</v>
      </c>
      <c r="D664" s="26" t="s">
        <v>588</v>
      </c>
      <c r="E664" s="26" t="s">
        <v>18</v>
      </c>
      <c r="F664" s="26" t="s">
        <v>20</v>
      </c>
      <c r="G664" s="27" t="n">
        <v>-3</v>
      </c>
      <c r="H664" s="28" t="n">
        <v>2896.5</v>
      </c>
      <c r="I664" s="28" t="n">
        <v>8689.5</v>
      </c>
      <c r="J664" s="28" t="n">
        <v>0</v>
      </c>
      <c r="K664" s="28" t="n">
        <v>-6.95</v>
      </c>
      <c r="L664" s="28" t="n">
        <v>0</v>
      </c>
      <c r="M664" s="6" t="s">
        <f>=I664+J664+K664+L664</f>
      </c>
      <c r="N664" s="28"/>
      <c r="O664" s="26"/>
    </row>
    <row collapsed="false" customFormat="false" customHeight="false" hidden="false" ht="12.1" outlineLevel="0" r="665">
      <c r="A665" s="20" t="n">
        <v>46001.593298611</v>
      </c>
      <c r="B665" s="16" t="s">
        <v>183</v>
      </c>
      <c r="C665" s="16" t="s">
        <v>870</v>
      </c>
      <c r="D665" s="16" t="s">
        <v>587</v>
      </c>
      <c r="E665" s="16" t="s">
        <v>135</v>
      </c>
      <c r="F665" s="16" t="s">
        <v>20</v>
      </c>
      <c r="G665" s="7" t="n">
        <v>9</v>
      </c>
      <c r="H665" s="6" t="n">
        <v>93.006</v>
      </c>
      <c r="I665" s="6" t="n">
        <v>-8370.54</v>
      </c>
      <c r="J665" s="6" t="n">
        <v>-160.29</v>
      </c>
      <c r="K665" s="6" t="n">
        <v>-0.71</v>
      </c>
      <c r="L665" s="6" t="n">
        <v>0</v>
      </c>
      <c r="M665" s="6" t="s">
        <f>=I665+J665+K665+L665</f>
      </c>
      <c r="N665" s="6"/>
      <c r="O665" s="16"/>
    </row>
    <row collapsed="false" customFormat="false" customHeight="false" hidden="false" ht="12.1" outlineLevel="0" r="666">
      <c r="A666" s="20" t="n">
        <v>46001.595405093</v>
      </c>
      <c r="B666" s="16" t="s">
        <v>128</v>
      </c>
      <c r="C666" s="16" t="s">
        <v>721</v>
      </c>
      <c r="D666" s="16" t="s">
        <v>587</v>
      </c>
      <c r="E666" s="16" t="s">
        <v>122</v>
      </c>
      <c r="F666" s="16" t="s">
        <v>20</v>
      </c>
      <c r="G666" s="7" t="n">
        <v>90</v>
      </c>
      <c r="H666" s="6" t="n">
        <v>1.8682</v>
      </c>
      <c r="I666" s="6" t="n">
        <v>-168.14</v>
      </c>
      <c r="J666" s="6" t="n">
        <v>0</v>
      </c>
      <c r="K666" s="6" t="n">
        <v>0</v>
      </c>
      <c r="L666" s="6" t="n">
        <v>0</v>
      </c>
      <c r="M666" s="6" t="s">
        <f>=I666+J666+K666+L666</f>
      </c>
      <c r="N666" s="6"/>
      <c r="O666" s="16"/>
    </row>
    <row collapsed="false" customFormat="false" customHeight="false" hidden="false" ht="12.1" outlineLevel="0" r="667">
      <c r="A667" s="21" t="n">
        <v>46014.020636574</v>
      </c>
      <c r="B667" s="22" t="s">
        <v>785</v>
      </c>
      <c r="C667" s="22" t="s">
        <v>871</v>
      </c>
      <c r="D667" s="22" t="s">
        <v>785</v>
      </c>
      <c r="E667" s="22" t="s">
        <v>785</v>
      </c>
      <c r="F667" s="22" t="s">
        <v>20</v>
      </c>
      <c r="G667" s="23" t="n">
        <v>1</v>
      </c>
      <c r="H667" s="24" t="n">
        <v>2000</v>
      </c>
      <c r="I667" s="24" t="n">
        <v>2000</v>
      </c>
      <c r="J667" s="24" t="n">
        <v>0</v>
      </c>
      <c r="K667" s="24" t="n">
        <v>0</v>
      </c>
      <c r="L667" s="24" t="n">
        <v>0</v>
      </c>
      <c r="M667" s="6" t="s">
        <f>=I667+J667+K667+L667</f>
      </c>
      <c r="N667" s="24"/>
      <c r="O667" s="22"/>
    </row>
    <row collapsed="false" customFormat="false" customHeight="false" hidden="false" ht="12.1" outlineLevel="0" r="668">
      <c r="A668" s="20" t="n">
        <v>46014.814039352</v>
      </c>
      <c r="B668" s="16" t="s">
        <v>121</v>
      </c>
      <c r="C668" s="16" t="s">
        <v>774</v>
      </c>
      <c r="D668" s="16" t="s">
        <v>587</v>
      </c>
      <c r="E668" s="16" t="s">
        <v>122</v>
      </c>
      <c r="F668" s="16" t="s">
        <v>20</v>
      </c>
      <c r="G668" s="7" t="n">
        <v>10</v>
      </c>
      <c r="H668" s="6" t="n">
        <v>188.68</v>
      </c>
      <c r="I668" s="6" t="n">
        <v>-1886.8</v>
      </c>
      <c r="J668" s="6" t="n">
        <v>0</v>
      </c>
      <c r="K668" s="6" t="n">
        <v>-0.38</v>
      </c>
      <c r="L668" s="6" t="n">
        <v>0</v>
      </c>
      <c r="M668" s="6" t="s">
        <f>=I668+J668+K668+L668</f>
      </c>
      <c r="N668" s="6"/>
      <c r="O668" s="16"/>
    </row>
    <row collapsed="false" customFormat="false" customHeight="false" hidden="false" ht="12.1" outlineLevel="0" r="669">
      <c r="A669" s="20" t="n">
        <v>46015.685347222</v>
      </c>
      <c r="B669" s="16" t="s">
        <v>201</v>
      </c>
      <c r="C669" s="16" t="s">
        <v>872</v>
      </c>
      <c r="D669" s="16" t="s">
        <v>587</v>
      </c>
      <c r="E669" s="16" t="s">
        <v>135</v>
      </c>
      <c r="F669" s="16" t="s">
        <v>20</v>
      </c>
      <c r="G669" s="7" t="n">
        <v>5</v>
      </c>
      <c r="H669" s="6" t="n">
        <v>99.97</v>
      </c>
      <c r="I669" s="6" t="n">
        <v>-4998.5</v>
      </c>
      <c r="J669" s="6" t="n">
        <v>-66.95</v>
      </c>
      <c r="K669" s="6" t="n">
        <v>-2.92</v>
      </c>
      <c r="L669" s="6" t="n">
        <v>0</v>
      </c>
      <c r="M669" s="6" t="s">
        <f>=I669+J669+K669+L669</f>
      </c>
      <c r="N669" s="6"/>
      <c r="O669" s="16"/>
    </row>
    <row collapsed="false" customFormat="false" customHeight="false" hidden="false" ht="12.1" outlineLevel="0" r="670">
      <c r="A670" s="20" t="n">
        <v>46015.68599537</v>
      </c>
      <c r="B670" s="16" t="s">
        <v>189</v>
      </c>
      <c r="C670" s="16" t="s">
        <v>873</v>
      </c>
      <c r="D670" s="16" t="s">
        <v>587</v>
      </c>
      <c r="E670" s="16" t="s">
        <v>135</v>
      </c>
      <c r="F670" s="16" t="s">
        <v>20</v>
      </c>
      <c r="G670" s="7" t="n">
        <v>5</v>
      </c>
      <c r="H670" s="6" t="n">
        <v>107.49</v>
      </c>
      <c r="I670" s="6" t="n">
        <v>-5374.5</v>
      </c>
      <c r="J670" s="6" t="n">
        <v>-3.3</v>
      </c>
      <c r="K670" s="6" t="n">
        <v>-3.14</v>
      </c>
      <c r="L670" s="6" t="n">
        <v>0</v>
      </c>
      <c r="M670" s="6" t="s">
        <f>=I670+J670+K670+L670</f>
      </c>
      <c r="N670" s="6"/>
      <c r="O670" s="16"/>
    </row>
    <row collapsed="false" customFormat="false" customHeight="false" hidden="false" ht="12.1" outlineLevel="0" r="671">
      <c r="A671" s="25" t="n">
        <v>46015.687627315</v>
      </c>
      <c r="B671" s="26" t="s">
        <v>128</v>
      </c>
      <c r="C671" s="26" t="s">
        <v>721</v>
      </c>
      <c r="D671" s="26" t="s">
        <v>588</v>
      </c>
      <c r="E671" s="26" t="s">
        <v>122</v>
      </c>
      <c r="F671" s="26" t="s">
        <v>20</v>
      </c>
      <c r="G671" s="27" t="n">
        <v>-57140</v>
      </c>
      <c r="H671" s="28" t="n">
        <v>1.8792</v>
      </c>
      <c r="I671" s="28" t="n">
        <v>107377.49</v>
      </c>
      <c r="J671" s="28" t="n">
        <v>0</v>
      </c>
      <c r="K671" s="28" t="n">
        <v>0</v>
      </c>
      <c r="L671" s="28" t="n">
        <v>0</v>
      </c>
      <c r="M671" s="6" t="s">
        <f>=I671+J671+K671+L671</f>
      </c>
      <c r="N671" s="28"/>
      <c r="O671" s="26"/>
    </row>
    <row collapsed="false" customFormat="false" customHeight="false" hidden="false" ht="12.1" outlineLevel="0" r="672">
      <c r="A672" s="20" t="n">
        <v>46015.68943287</v>
      </c>
      <c r="B672" s="16" t="s">
        <v>121</v>
      </c>
      <c r="C672" s="16" t="s">
        <v>774</v>
      </c>
      <c r="D672" s="16" t="s">
        <v>587</v>
      </c>
      <c r="E672" s="16" t="s">
        <v>122</v>
      </c>
      <c r="F672" s="16" t="s">
        <v>20</v>
      </c>
      <c r="G672" s="7" t="n">
        <v>514</v>
      </c>
      <c r="H672" s="6" t="n">
        <v>188.7</v>
      </c>
      <c r="I672" s="6" t="n">
        <v>-96991.8</v>
      </c>
      <c r="J672" s="6" t="n">
        <v>0</v>
      </c>
      <c r="K672" s="6" t="n">
        <v>-19.4</v>
      </c>
      <c r="L672" s="6" t="n">
        <v>0</v>
      </c>
      <c r="M672" s="6" t="s">
        <f>=I672+J672+K672+L672</f>
      </c>
      <c r="N672" s="6"/>
      <c r="O672" s="16"/>
    </row>
    <row collapsed="false" customFormat="false" customHeight="false" hidden="false" ht="12.1" outlineLevel="0" r="673">
      <c r="A673" s="21" t="n">
        <v>46034.020636574</v>
      </c>
      <c r="B673" s="22" t="s">
        <v>785</v>
      </c>
      <c r="C673" s="22" t="s">
        <v>874</v>
      </c>
      <c r="D673" s="22" t="s">
        <v>785</v>
      </c>
      <c r="E673" s="22" t="s">
        <v>785</v>
      </c>
      <c r="F673" s="22" t="s">
        <v>20</v>
      </c>
      <c r="G673" s="23" t="n">
        <v>2</v>
      </c>
      <c r="H673" s="24" t="n">
        <v>219.48</v>
      </c>
      <c r="I673" s="24" t="n">
        <v>438.96</v>
      </c>
      <c r="J673" s="24" t="n">
        <v>0</v>
      </c>
      <c r="K673" s="24" t="n">
        <v>0</v>
      </c>
      <c r="L673" s="24" t="n">
        <v>0</v>
      </c>
      <c r="M673" s="6" t="s">
        <f>=I673+J673+K673+L673</f>
      </c>
      <c r="N673" s="24"/>
      <c r="O673" s="22"/>
    </row>
    <row collapsed="false" customFormat="false" customHeight="false" hidden="false" ht="12.1" outlineLevel="0" r="674">
      <c r="A674" s="21" t="n">
        <v>46035.020636574</v>
      </c>
      <c r="B674" s="22" t="s">
        <v>785</v>
      </c>
      <c r="C674" s="22" t="s">
        <v>849</v>
      </c>
      <c r="D674" s="22" t="s">
        <v>785</v>
      </c>
      <c r="E674" s="22" t="s">
        <v>785</v>
      </c>
      <c r="F674" s="22" t="s">
        <v>20</v>
      </c>
      <c r="G674" s="23" t="n">
        <v>1</v>
      </c>
      <c r="H674" s="24" t="n">
        <v>400</v>
      </c>
      <c r="I674" s="24" t="n">
        <v>400</v>
      </c>
      <c r="J674" s="24" t="n">
        <v>0</v>
      </c>
      <c r="K674" s="24" t="n">
        <v>0</v>
      </c>
      <c r="L674" s="24" t="n">
        <v>0</v>
      </c>
      <c r="M674" s="6" t="s">
        <f>=I674+J674+K674+L674</f>
      </c>
      <c r="N674" s="24"/>
      <c r="O674" s="22"/>
    </row>
    <row collapsed="false" customFormat="false" customHeight="false" hidden="false" ht="12.1" outlineLevel="0" r="675">
      <c r="A675" s="20" t="n">
        <v>46049.650729167</v>
      </c>
      <c r="B675" s="16" t="s">
        <v>121</v>
      </c>
      <c r="C675" s="16" t="s">
        <v>774</v>
      </c>
      <c r="D675" s="16" t="s">
        <v>587</v>
      </c>
      <c r="E675" s="16" t="s">
        <v>122</v>
      </c>
      <c r="F675" s="16" t="s">
        <v>20</v>
      </c>
      <c r="G675" s="7" t="n">
        <v>4</v>
      </c>
      <c r="H675" s="6" t="n">
        <v>192.26</v>
      </c>
      <c r="I675" s="6" t="n">
        <v>-769.04</v>
      </c>
      <c r="J675" s="6" t="n">
        <v>0</v>
      </c>
      <c r="K675" s="6" t="n">
        <v>-0.16</v>
      </c>
      <c r="L675" s="6" t="n">
        <v>0</v>
      </c>
      <c r="M675" s="6" t="s">
        <f>=I675+J675+K675+L675</f>
      </c>
      <c r="N675" s="6"/>
      <c r="O675" s="16"/>
    </row>
    <row collapsed="false" customFormat="false" customHeight="false" hidden="false" ht="12.1" outlineLevel="0" r="676">
      <c r="A676" s="21" t="n">
        <v>46055.020636574</v>
      </c>
      <c r="B676" s="22" t="s">
        <v>785</v>
      </c>
      <c r="C676" s="22" t="s">
        <v>875</v>
      </c>
      <c r="D676" s="22" t="s">
        <v>785</v>
      </c>
      <c r="E676" s="22" t="s">
        <v>785</v>
      </c>
      <c r="F676" s="22" t="s">
        <v>20</v>
      </c>
      <c r="G676" s="23" t="n">
        <v>2</v>
      </c>
      <c r="H676" s="24" t="n">
        <v>239.505</v>
      </c>
      <c r="I676" s="24" t="n">
        <v>479.01</v>
      </c>
      <c r="J676" s="24" t="n">
        <v>0</v>
      </c>
      <c r="K676" s="24" t="n">
        <v>0</v>
      </c>
      <c r="L676" s="24" t="n">
        <v>0</v>
      </c>
      <c r="M676" s="6" t="s">
        <f>=I676+J676+K676+L676</f>
      </c>
      <c r="N676" s="24"/>
      <c r="O676" s="22"/>
    </row>
    <row collapsed="false" customFormat="false" customHeight="false" hidden="false" ht="12.1" outlineLevel="0" r="677">
      <c r="A677" s="21" t="n">
        <v>46057.020636574</v>
      </c>
      <c r="B677" s="22" t="s">
        <v>785</v>
      </c>
      <c r="C677" s="22" t="s">
        <v>849</v>
      </c>
      <c r="D677" s="22" t="s">
        <v>785</v>
      </c>
      <c r="E677" s="22" t="s">
        <v>785</v>
      </c>
      <c r="F677" s="22" t="s">
        <v>20</v>
      </c>
      <c r="G677" s="23" t="n">
        <v>1</v>
      </c>
      <c r="H677" s="24" t="n">
        <v>400</v>
      </c>
      <c r="I677" s="24" t="n">
        <v>400</v>
      </c>
      <c r="J677" s="24" t="n">
        <v>0</v>
      </c>
      <c r="K677" s="24" t="n">
        <v>0</v>
      </c>
      <c r="L677" s="24" t="n">
        <v>0</v>
      </c>
      <c r="M677" s="6" t="s">
        <f>=I677+J677+K677+L677</f>
      </c>
      <c r="N677" s="24"/>
      <c r="O677" s="22"/>
    </row>
    <row collapsed="false" customFormat="false" customHeight="false" hidden="false" ht="12.1" outlineLevel="0" r="678">
      <c r="A678" s="25" t="n">
        <v>46057.711678241</v>
      </c>
      <c r="B678" s="26" t="s">
        <v>612</v>
      </c>
      <c r="C678" s="26" t="s">
        <v>802</v>
      </c>
      <c r="D678" s="26" t="s">
        <v>588</v>
      </c>
      <c r="E678" s="26" t="s">
        <v>18</v>
      </c>
      <c r="F678" s="26" t="s">
        <v>20</v>
      </c>
      <c r="G678" s="27" t="n">
        <v>-22000</v>
      </c>
      <c r="H678" s="28" t="n">
        <v>0.1278</v>
      </c>
      <c r="I678" s="28" t="n">
        <v>2811.6</v>
      </c>
      <c r="J678" s="28" t="n">
        <v>0</v>
      </c>
      <c r="K678" s="28" t="n">
        <v>-1.68</v>
      </c>
      <c r="L678" s="28" t="n">
        <v>0</v>
      </c>
      <c r="M678" s="6" t="s">
        <f>=I678+J678+K678+L678</f>
      </c>
      <c r="N678" s="28"/>
      <c r="O678" s="26"/>
    </row>
    <row collapsed="false" customFormat="false" customHeight="false" hidden="false" ht="12.1" outlineLevel="0" r="679">
      <c r="A679" s="20" t="n">
        <v>46057.714108796</v>
      </c>
      <c r="B679" s="16" t="s">
        <v>128</v>
      </c>
      <c r="C679" s="16" t="s">
        <v>721</v>
      </c>
      <c r="D679" s="16" t="s">
        <v>587</v>
      </c>
      <c r="E679" s="16" t="s">
        <v>122</v>
      </c>
      <c r="F679" s="16" t="s">
        <v>20</v>
      </c>
      <c r="G679" s="7" t="n">
        <v>1980</v>
      </c>
      <c r="H679" s="6" t="n">
        <v>1.9132</v>
      </c>
      <c r="I679" s="6" t="n">
        <v>-3788.14</v>
      </c>
      <c r="J679" s="6" t="n">
        <v>0</v>
      </c>
      <c r="K679" s="6" t="n">
        <v>0</v>
      </c>
      <c r="L679" s="6" t="n">
        <v>0</v>
      </c>
      <c r="M679" s="6" t="s">
        <f>=I679+J679+K679+L679</f>
      </c>
      <c r="N679" s="6"/>
      <c r="O679" s="16"/>
    </row>
    <row collapsed="false" customFormat="false" customHeight="false" hidden="false" ht="12.1" outlineLevel="0" r="680">
      <c r="A680" s="21" t="n">
        <v>46065.020636574</v>
      </c>
      <c r="B680" s="22" t="s">
        <v>785</v>
      </c>
      <c r="C680" s="22" t="s">
        <v>866</v>
      </c>
      <c r="D680" s="22" t="s">
        <v>785</v>
      </c>
      <c r="E680" s="22" t="s">
        <v>785</v>
      </c>
      <c r="F680" s="22" t="s">
        <v>20</v>
      </c>
      <c r="G680" s="23" t="n">
        <v>1</v>
      </c>
      <c r="H680" s="24" t="n">
        <v>500</v>
      </c>
      <c r="I680" s="24" t="n">
        <v>500</v>
      </c>
      <c r="J680" s="24" t="n">
        <v>0</v>
      </c>
      <c r="K680" s="24" t="n">
        <v>0</v>
      </c>
      <c r="L680" s="24" t="n">
        <v>0</v>
      </c>
      <c r="M680" s="6" t="s">
        <f>=I680+J680+K680+L680</f>
      </c>
      <c r="N680" s="24"/>
      <c r="O680" s="22"/>
    </row>
    <row collapsed="false" customFormat="false" customHeight="false" hidden="false" ht="12.1" outlineLevel="0" r="681">
      <c r="A681" s="20" t="n">
        <v>46065.727025463</v>
      </c>
      <c r="B681" s="16" t="s">
        <v>128</v>
      </c>
      <c r="C681" s="16" t="s">
        <v>721</v>
      </c>
      <c r="D681" s="16" t="s">
        <v>587</v>
      </c>
      <c r="E681" s="16" t="s">
        <v>122</v>
      </c>
      <c r="F681" s="16" t="s">
        <v>20</v>
      </c>
      <c r="G681" s="7" t="n">
        <v>280</v>
      </c>
      <c r="H681" s="6" t="n">
        <v>1.9197</v>
      </c>
      <c r="I681" s="6" t="n">
        <v>-537.52</v>
      </c>
      <c r="J681" s="6" t="n">
        <v>0</v>
      </c>
      <c r="K681" s="6" t="n">
        <v>0</v>
      </c>
      <c r="L681" s="6" t="n">
        <v>0</v>
      </c>
      <c r="M681" s="6" t="s">
        <f>=I681+J681+K681+L681</f>
      </c>
      <c r="N681" s="6"/>
      <c r="O681" s="16"/>
    </row>
    <row collapsed="false" customFormat="false" customHeight="false" hidden="false" ht="12.1" outlineLevel="0" r="682">
      <c r="A682" s="21" t="n">
        <v>46069.020636574</v>
      </c>
      <c r="B682" s="22" t="s">
        <v>710</v>
      </c>
      <c r="C682" s="22" t="s">
        <v>544</v>
      </c>
      <c r="D682" s="22" t="s">
        <v>710</v>
      </c>
      <c r="E682" s="22" t="s">
        <v>710</v>
      </c>
      <c r="F682" s="22" t="s">
        <v>20</v>
      </c>
      <c r="G682" s="23" t="n">
        <v>1</v>
      </c>
      <c r="H682" s="24" t="n">
        <v>330.23</v>
      </c>
      <c r="I682" s="24" t="n">
        <v>330.23</v>
      </c>
      <c r="J682" s="24" t="n">
        <v>0</v>
      </c>
      <c r="K682" s="24" t="n">
        <v>0</v>
      </c>
      <c r="L682" s="24" t="n">
        <v>0</v>
      </c>
      <c r="M682" s="6" t="s">
        <f>=I682+J682+K682+L682</f>
      </c>
      <c r="N682" s="24"/>
      <c r="O682" s="22"/>
    </row>
    <row collapsed="false" customFormat="false" customHeight="false" hidden="false" ht="12.1" outlineLevel="0" r="683">
      <c r="A683" s="20" t="n">
        <v>46069.478194444</v>
      </c>
      <c r="B683" s="16" t="s">
        <v>121</v>
      </c>
      <c r="C683" s="16" t="s">
        <v>774</v>
      </c>
      <c r="D683" s="16" t="s">
        <v>587</v>
      </c>
      <c r="E683" s="16" t="s">
        <v>122</v>
      </c>
      <c r="F683" s="16" t="s">
        <v>20</v>
      </c>
      <c r="G683" s="7" t="n">
        <v>515</v>
      </c>
      <c r="H683" s="6" t="n">
        <v>194.4000776699</v>
      </c>
      <c r="I683" s="6" t="n">
        <v>-100116.04</v>
      </c>
      <c r="J683" s="6" t="n">
        <v>0</v>
      </c>
      <c r="K683" s="6" t="n">
        <v>-20.01</v>
      </c>
      <c r="L683" s="6" t="n">
        <v>0</v>
      </c>
      <c r="M683" s="6" t="s">
        <f>=I683+J683+K683+L683</f>
      </c>
      <c r="N683" s="6"/>
      <c r="O683" s="16"/>
    </row>
    <row collapsed="false" customFormat="false" customHeight="false" hidden="false" ht="12.1" outlineLevel="0" r="684">
      <c r="A684" s="25" t="n">
        <v>46069.481030093</v>
      </c>
      <c r="B684" s="26" t="s">
        <v>128</v>
      </c>
      <c r="C684" s="26" t="s">
        <v>721</v>
      </c>
      <c r="D684" s="26" t="s">
        <v>588</v>
      </c>
      <c r="E684" s="26" t="s">
        <v>122</v>
      </c>
      <c r="F684" s="26" t="s">
        <v>20</v>
      </c>
      <c r="G684" s="27" t="n">
        <v>-52009</v>
      </c>
      <c r="H684" s="28" t="n">
        <v>1.9227</v>
      </c>
      <c r="I684" s="28" t="n">
        <v>99997.7</v>
      </c>
      <c r="J684" s="28" t="n">
        <v>0</v>
      </c>
      <c r="K684" s="28" t="n">
        <v>0</v>
      </c>
      <c r="L684" s="28" t="n">
        <v>0</v>
      </c>
      <c r="M684" s="6" t="s">
        <f>=I684+J684+K684+L684</f>
      </c>
      <c r="N684" s="28"/>
      <c r="O684" s="26"/>
    </row>
    <row collapsed="false" customFormat="false" customHeight="false" hidden="false" ht="12.1" outlineLevel="0" r="685">
      <c r="A685" s="25" t="n">
        <v>46078.317349537</v>
      </c>
      <c r="B685" s="26" t="s">
        <v>750</v>
      </c>
      <c r="C685" s="26" t="s">
        <v>750</v>
      </c>
      <c r="D685" s="26" t="s">
        <v>704</v>
      </c>
      <c r="E685" s="26" t="s">
        <v>752</v>
      </c>
      <c r="F685" s="26" t="s">
        <v>33</v>
      </c>
      <c r="G685" s="27" t="n">
        <v>1077</v>
      </c>
      <c r="H685" s="28" t="n">
        <v>1</v>
      </c>
      <c r="I685" s="2"/>
      <c r="J685" s="2"/>
      <c r="K685" s="2"/>
      <c r="L685" s="2"/>
      <c r="M685" s="2"/>
      <c r="N685" s="6" t="n">
        <v>1077</v>
      </c>
      <c r="O685" s="2"/>
    </row>
    <row collapsed="false" customFormat="false" customHeight="false" hidden="false" ht="12.1" outlineLevel="0"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 t="s">
        <v>876</v>
      </c>
      <c r="M686" s="5" t="s">
        <f>=SUM(M2:M685)</f>
      </c>
      <c r="N686" s="5" t="s">
        <f>=SUM(N2:N685)</f>
      </c>
      <c r="O686" s="4"/>
    </row>
  </sheetData>
  <autoFilter ref="A1:O68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247</v>
      </c>
      <c r="B1" s="38" t="s">
        <v>877</v>
      </c>
      <c r="C1" s="38" t="s">
        <v>0</v>
      </c>
      <c r="D1" s="38" t="s">
        <v>2</v>
      </c>
      <c r="E1" s="38" t="s">
        <v>878</v>
      </c>
      <c r="F1" s="38" t="s">
        <v>3</v>
      </c>
      <c r="G1" s="38" t="s">
        <v>879</v>
      </c>
      <c r="H1" s="38" t="s">
        <v>880</v>
      </c>
      <c r="I1" s="38" t="s">
        <v>881</v>
      </c>
      <c r="J1" s="38" t="s">
        <v>882</v>
      </c>
      <c r="K1" s="38" t="s">
        <v>883</v>
      </c>
      <c r="L1" s="38" t="s">
        <v>884</v>
      </c>
      <c r="M1" s="38" t="s">
        <v>885</v>
      </c>
      <c r="N1" s="38" t="s">
        <v>886</v>
      </c>
    </row>
    <row collapsed="false" customFormat="false" customHeight="false" hidden="false" ht="12.1" outlineLevel="0" r="2">
      <c r="A2" s="37" t="n">
        <v>44689</v>
      </c>
      <c r="B2" s="16" t="s">
        <v>887</v>
      </c>
      <c r="C2" s="16" t="s">
        <v>92</v>
      </c>
      <c r="D2" s="16" t="s">
        <v>93</v>
      </c>
      <c r="E2" s="7" t="n">
        <v>1</v>
      </c>
      <c r="F2" s="16" t="s">
        <v>20</v>
      </c>
      <c r="G2" s="6" t="n">
        <v>14.4</v>
      </c>
      <c r="H2" s="6" t="n">
        <v>926</v>
      </c>
      <c r="I2" s="6" t="n">
        <v>890.54</v>
      </c>
      <c r="J2" s="6" t="n">
        <v>2</v>
      </c>
      <c r="K2" s="6" t="n">
        <v>14.4</v>
      </c>
      <c r="L2" s="6" t="n">
        <v>12.4</v>
      </c>
      <c r="M2" s="6" t="n">
        <v>1.39</v>
      </c>
      <c r="N2" s="6" t="n">
        <v>1.34</v>
      </c>
    </row>
    <row collapsed="false" customFormat="false" customHeight="false" hidden="false" ht="12.1" outlineLevel="0" r="3">
      <c r="A3" s="37" t="n">
        <v>44722</v>
      </c>
      <c r="B3" s="16" t="s">
        <v>887</v>
      </c>
      <c r="C3" s="16" t="s">
        <v>90</v>
      </c>
      <c r="D3" s="16" t="s">
        <v>91</v>
      </c>
      <c r="E3" s="7" t="n">
        <v>100</v>
      </c>
      <c r="F3" s="16" t="s">
        <v>20</v>
      </c>
      <c r="G3" s="6" t="n">
        <v>0.2366</v>
      </c>
      <c r="H3" s="6" t="n">
        <v>3.14</v>
      </c>
      <c r="I3" s="6" t="n">
        <v>1.93</v>
      </c>
      <c r="J3" s="6" t="n">
        <v>3</v>
      </c>
      <c r="K3" s="6" t="n">
        <v>23.658</v>
      </c>
      <c r="L3" s="6" t="n">
        <v>20.66</v>
      </c>
      <c r="M3" s="6" t="n">
        <v>10.7</v>
      </c>
      <c r="N3" s="6" t="n">
        <v>6.58</v>
      </c>
    </row>
    <row collapsed="false" customFormat="false" customHeight="false" hidden="false" ht="12.1" outlineLevel="0" r="4">
      <c r="A4" s="37" t="n">
        <v>44753</v>
      </c>
      <c r="B4" s="16" t="s">
        <v>887</v>
      </c>
      <c r="C4" s="16" t="s">
        <v>17</v>
      </c>
      <c r="D4" s="16" t="s">
        <v>19</v>
      </c>
      <c r="E4" s="7" t="n">
        <v>1</v>
      </c>
      <c r="F4" s="16" t="s">
        <v>20</v>
      </c>
      <c r="G4" s="6" t="n">
        <v>23.63</v>
      </c>
      <c r="H4" s="6" t="n">
        <v>343.8</v>
      </c>
      <c r="I4" s="6" t="n">
        <v>311.74</v>
      </c>
      <c r="J4" s="6" t="n">
        <v>3</v>
      </c>
      <c r="K4" s="6" t="n">
        <v>23.63</v>
      </c>
      <c r="L4" s="6" t="n">
        <v>20.63</v>
      </c>
      <c r="M4" s="6" t="n">
        <v>6.62</v>
      </c>
      <c r="N4" s="6" t="n">
        <v>6</v>
      </c>
    </row>
    <row collapsed="false" customFormat="false" customHeight="false" hidden="false" ht="12.1" outlineLevel="0" r="5">
      <c r="A5" s="37" t="n">
        <v>44762</v>
      </c>
      <c r="B5" s="16" t="s">
        <v>887</v>
      </c>
      <c r="C5" s="16" t="s">
        <v>25</v>
      </c>
      <c r="D5" s="16" t="s">
        <v>26</v>
      </c>
      <c r="E5" s="7" t="n">
        <v>100</v>
      </c>
      <c r="F5" s="16" t="s">
        <v>20</v>
      </c>
      <c r="G5" s="6" t="n">
        <v>4.73</v>
      </c>
      <c r="H5" s="6" t="n">
        <v>28.91</v>
      </c>
      <c r="I5" s="6" t="n">
        <v>36.42</v>
      </c>
      <c r="J5" s="6" t="n">
        <v>61</v>
      </c>
      <c r="K5" s="6" t="n">
        <v>473</v>
      </c>
      <c r="L5" s="6" t="n">
        <v>412</v>
      </c>
      <c r="M5" s="6" t="n">
        <v>11.31</v>
      </c>
      <c r="N5" s="6" t="n">
        <v>14.25</v>
      </c>
    </row>
    <row collapsed="false" customFormat="false" customHeight="false" hidden="false" ht="12.1" outlineLevel="0" r="6">
      <c r="A6" s="37" t="n">
        <v>44845</v>
      </c>
      <c r="B6" s="16" t="s">
        <v>887</v>
      </c>
      <c r="C6" s="16" t="s">
        <v>94</v>
      </c>
      <c r="D6" s="16" t="s">
        <v>95</v>
      </c>
      <c r="E6" s="7" t="n">
        <v>10</v>
      </c>
      <c r="F6" s="16" t="s">
        <v>20</v>
      </c>
      <c r="G6" s="6" t="n">
        <v>51.03</v>
      </c>
      <c r="H6" s="6" t="n">
        <v>162.89</v>
      </c>
      <c r="I6" s="6" t="n">
        <v>207.29</v>
      </c>
      <c r="J6" s="6" t="n">
        <v>66</v>
      </c>
      <c r="K6" s="6" t="n">
        <v>510.3</v>
      </c>
      <c r="L6" s="6" t="n">
        <v>444.3</v>
      </c>
      <c r="M6" s="6" t="n">
        <v>21.43</v>
      </c>
      <c r="N6" s="6" t="n">
        <v>27.28</v>
      </c>
    </row>
    <row collapsed="false" customFormat="false" customHeight="false" hidden="false" ht="12.1" outlineLevel="0" r="7">
      <c r="A7" s="37" t="n">
        <v>44854</v>
      </c>
      <c r="B7" s="16" t="s">
        <v>887</v>
      </c>
      <c r="C7" s="16" t="s">
        <v>104</v>
      </c>
      <c r="D7" s="16" t="s">
        <v>105</v>
      </c>
      <c r="E7" s="7" t="n">
        <v>20</v>
      </c>
      <c r="F7" s="16" t="s">
        <v>20</v>
      </c>
      <c r="G7" s="6" t="n">
        <v>1.21</v>
      </c>
      <c r="H7" s="6" t="n">
        <v>32.485</v>
      </c>
      <c r="I7" s="6" t="n">
        <v>57.37</v>
      </c>
      <c r="J7" s="6" t="n">
        <v>3</v>
      </c>
      <c r="K7" s="6" t="n">
        <v>24.2</v>
      </c>
      <c r="L7" s="6" t="n">
        <v>21.2</v>
      </c>
      <c r="M7" s="6" t="n">
        <v>1.85</v>
      </c>
      <c r="N7" s="6" t="n">
        <v>3.26</v>
      </c>
    </row>
    <row collapsed="false" customFormat="false" customHeight="false" hidden="false" ht="12.1" outlineLevel="0" r="8">
      <c r="A8" s="37" t="n">
        <v>44916</v>
      </c>
      <c r="B8" s="16" t="s">
        <v>887</v>
      </c>
      <c r="C8" s="16" t="s">
        <v>54</v>
      </c>
      <c r="D8" s="16" t="s">
        <v>55</v>
      </c>
      <c r="E8" s="7" t="n">
        <v>1</v>
      </c>
      <c r="F8" s="16" t="s">
        <v>20</v>
      </c>
      <c r="G8" s="6" t="n">
        <v>256</v>
      </c>
      <c r="H8" s="6" t="n">
        <v>4040.5</v>
      </c>
      <c r="I8" s="6" t="n">
        <v>3802.28</v>
      </c>
      <c r="J8" s="6" t="n">
        <v>33</v>
      </c>
      <c r="K8" s="6" t="n">
        <v>256</v>
      </c>
      <c r="L8" s="6" t="n">
        <v>223</v>
      </c>
      <c r="M8" s="6" t="n">
        <v>5.86</v>
      </c>
      <c r="N8" s="6" t="n">
        <v>5.52</v>
      </c>
    </row>
    <row collapsed="false" customFormat="false" customHeight="false" hidden="false" ht="12.1" outlineLevel="0" r="9">
      <c r="A9" s="37" t="n">
        <v>44916</v>
      </c>
      <c r="B9" s="16" t="s">
        <v>887</v>
      </c>
      <c r="C9" s="16" t="s">
        <v>54</v>
      </c>
      <c r="D9" s="16" t="s">
        <v>55</v>
      </c>
      <c r="E9" s="7" t="n">
        <v>1</v>
      </c>
      <c r="F9" s="16" t="s">
        <v>20</v>
      </c>
      <c r="G9" s="6" t="n">
        <v>537</v>
      </c>
      <c r="H9" s="6" t="n">
        <v>4040.5</v>
      </c>
      <c r="I9" s="6" t="n">
        <v>3802.28</v>
      </c>
      <c r="J9" s="6" t="n">
        <v>70</v>
      </c>
      <c r="K9" s="6" t="n">
        <v>537</v>
      </c>
      <c r="L9" s="6" t="n">
        <v>467</v>
      </c>
      <c r="M9" s="6" t="n">
        <v>12.28</v>
      </c>
      <c r="N9" s="6" t="n">
        <v>11.56</v>
      </c>
    </row>
    <row collapsed="false" customFormat="false" customHeight="false" hidden="false" ht="12.1" outlineLevel="0" r="10">
      <c r="A10" s="37" t="n">
        <v>44938</v>
      </c>
      <c r="B10" s="16" t="s">
        <v>887</v>
      </c>
      <c r="C10" s="16" t="s">
        <v>17</v>
      </c>
      <c r="D10" s="16" t="s">
        <v>19</v>
      </c>
      <c r="E10" s="7" t="n">
        <v>2</v>
      </c>
      <c r="F10" s="16" t="s">
        <v>20</v>
      </c>
      <c r="G10" s="6" t="n">
        <v>20.39</v>
      </c>
      <c r="H10" s="6" t="n">
        <v>346.85</v>
      </c>
      <c r="I10" s="6" t="n">
        <v>330.72</v>
      </c>
      <c r="J10" s="6" t="n">
        <v>5</v>
      </c>
      <c r="K10" s="6" t="n">
        <v>40.78</v>
      </c>
      <c r="L10" s="6" t="n">
        <v>35.78</v>
      </c>
      <c r="M10" s="6" t="n">
        <v>5.41</v>
      </c>
      <c r="N10" s="6" t="n">
        <v>5.16</v>
      </c>
    </row>
    <row collapsed="false" customFormat="false" customHeight="false" hidden="false" ht="12.1" outlineLevel="0" r="11">
      <c r="A11" s="37" t="n">
        <v>45057</v>
      </c>
      <c r="B11" s="16" t="s">
        <v>887</v>
      </c>
      <c r="C11" s="16" t="s">
        <v>593</v>
      </c>
      <c r="D11" s="16" t="s">
        <v>888</v>
      </c>
      <c r="E11" s="7" t="n">
        <v>10</v>
      </c>
      <c r="F11" s="16" t="s">
        <v>20</v>
      </c>
      <c r="G11" s="6" t="n">
        <v>25</v>
      </c>
      <c r="H11" s="6" t="n">
        <v>226.55</v>
      </c>
      <c r="I11" s="6" t="n">
        <v>138.78</v>
      </c>
      <c r="J11" s="6" t="n">
        <v>33</v>
      </c>
      <c r="K11" s="6" t="n">
        <v>250</v>
      </c>
      <c r="L11" s="6" t="n">
        <v>217</v>
      </c>
      <c r="M11" s="6" t="n">
        <v>15.64</v>
      </c>
      <c r="N11" s="6" t="n">
        <v>9.58</v>
      </c>
    </row>
    <row collapsed="false" customFormat="false" customHeight="false" hidden="false" ht="12.1" outlineLevel="0" r="12">
      <c r="A12" s="37" t="n">
        <v>45076</v>
      </c>
      <c r="B12" s="16" t="s">
        <v>887</v>
      </c>
      <c r="C12" s="16" t="s">
        <v>90</v>
      </c>
      <c r="D12" s="16" t="s">
        <v>91</v>
      </c>
      <c r="E12" s="7" t="n">
        <v>200</v>
      </c>
      <c r="F12" s="16" t="s">
        <v>20</v>
      </c>
      <c r="G12" s="6" t="n">
        <v>0.2837</v>
      </c>
      <c r="H12" s="6" t="n">
        <v>4.1225</v>
      </c>
      <c r="I12" s="6" t="n">
        <v>2.53</v>
      </c>
      <c r="J12" s="6" t="n">
        <v>7</v>
      </c>
      <c r="K12" s="6" t="n">
        <v>56.7311</v>
      </c>
      <c r="L12" s="6" t="n">
        <v>49.73</v>
      </c>
      <c r="M12" s="6" t="n">
        <v>9.84</v>
      </c>
      <c r="N12" s="6" t="n">
        <v>6.03</v>
      </c>
    </row>
    <row collapsed="false" customFormat="false" customHeight="false" hidden="false" ht="12.1" outlineLevel="0" r="13">
      <c r="A13" s="37" t="n">
        <v>45082</v>
      </c>
      <c r="B13" s="16" t="s">
        <v>887</v>
      </c>
      <c r="C13" s="16" t="s">
        <v>54</v>
      </c>
      <c r="D13" s="16" t="s">
        <v>55</v>
      </c>
      <c r="E13" s="7" t="n">
        <v>1</v>
      </c>
      <c r="F13" s="16" t="s">
        <v>20</v>
      </c>
      <c r="G13" s="6" t="n">
        <v>438</v>
      </c>
      <c r="H13" s="6" t="n">
        <v>5166.5</v>
      </c>
      <c r="I13" s="6" t="n">
        <v>3802.28</v>
      </c>
      <c r="J13" s="6" t="n">
        <v>57</v>
      </c>
      <c r="K13" s="6" t="n">
        <v>438</v>
      </c>
      <c r="L13" s="6" t="n">
        <v>381</v>
      </c>
      <c r="M13" s="6" t="n">
        <v>10.02</v>
      </c>
      <c r="N13" s="6" t="n">
        <v>7.37</v>
      </c>
    </row>
    <row collapsed="false" customFormat="false" customHeight="false" hidden="false" ht="12.1" outlineLevel="0" r="14">
      <c r="A14" s="37" t="n">
        <v>45093</v>
      </c>
      <c r="B14" s="16" t="s">
        <v>887</v>
      </c>
      <c r="C14" s="16" t="s">
        <v>76</v>
      </c>
      <c r="D14" s="16" t="s">
        <v>77</v>
      </c>
      <c r="E14" s="7" t="n">
        <v>10</v>
      </c>
      <c r="F14" s="16" t="s">
        <v>20</v>
      </c>
      <c r="G14" s="6" t="n">
        <v>4.84</v>
      </c>
      <c r="H14" s="6" t="n">
        <v>124.06</v>
      </c>
      <c r="I14" s="6" t="n">
        <v>92.76</v>
      </c>
      <c r="J14" s="6" t="n">
        <v>6</v>
      </c>
      <c r="K14" s="6" t="n">
        <v>48.4</v>
      </c>
      <c r="L14" s="6" t="n">
        <v>42.4</v>
      </c>
      <c r="M14" s="6" t="n">
        <v>4.57</v>
      </c>
      <c r="N14" s="6" t="n">
        <v>3.42</v>
      </c>
    </row>
    <row collapsed="false" customFormat="false" customHeight="false" hidden="false" ht="12.1" outlineLevel="0" r="15">
      <c r="A15" s="37" t="n">
        <v>45114</v>
      </c>
      <c r="B15" s="16" t="s">
        <v>887</v>
      </c>
      <c r="C15" s="16" t="s">
        <v>108</v>
      </c>
      <c r="D15" s="16" t="s">
        <v>109</v>
      </c>
      <c r="E15" s="7" t="n">
        <v>1</v>
      </c>
      <c r="F15" s="16" t="s">
        <v>20</v>
      </c>
      <c r="G15" s="6" t="n">
        <v>78</v>
      </c>
      <c r="H15" s="6" t="n">
        <v>710.6</v>
      </c>
      <c r="I15" s="6" t="n">
        <v>498.25</v>
      </c>
      <c r="J15" s="6" t="n">
        <v>10</v>
      </c>
      <c r="K15" s="6" t="n">
        <v>78</v>
      </c>
      <c r="L15" s="6" t="n">
        <v>68</v>
      </c>
      <c r="M15" s="6" t="n">
        <v>13.65</v>
      </c>
      <c r="N15" s="6" t="n">
        <v>9.57</v>
      </c>
    </row>
    <row collapsed="false" customFormat="false" customHeight="false" hidden="false" ht="12.1" outlineLevel="0" r="16">
      <c r="A16" s="37" t="n">
        <v>45118</v>
      </c>
      <c r="B16" s="16" t="s">
        <v>887</v>
      </c>
      <c r="C16" s="16" t="s">
        <v>78</v>
      </c>
      <c r="D16" s="16" t="s">
        <v>79</v>
      </c>
      <c r="E16" s="7" t="n">
        <v>4</v>
      </c>
      <c r="F16" s="16" t="s">
        <v>20</v>
      </c>
      <c r="G16" s="6" t="n">
        <v>10</v>
      </c>
      <c r="H16" s="6" t="n">
        <v>633</v>
      </c>
      <c r="I16" s="6" t="n">
        <v>596.43</v>
      </c>
      <c r="J16" s="6" t="n">
        <v>5</v>
      </c>
      <c r="K16" s="6" t="n">
        <v>40</v>
      </c>
      <c r="L16" s="6" t="n">
        <v>35</v>
      </c>
      <c r="M16" s="6" t="n">
        <v>1.47</v>
      </c>
      <c r="N16" s="6" t="n">
        <v>1.38</v>
      </c>
    </row>
    <row collapsed="false" customFormat="false" customHeight="false" hidden="false" ht="12.1" outlineLevel="0" r="17">
      <c r="A17" s="37" t="n">
        <v>45118</v>
      </c>
      <c r="B17" s="16" t="s">
        <v>887</v>
      </c>
      <c r="C17" s="16" t="s">
        <v>17</v>
      </c>
      <c r="D17" s="16" t="s">
        <v>19</v>
      </c>
      <c r="E17" s="7" t="n">
        <v>2</v>
      </c>
      <c r="F17" s="16" t="s">
        <v>20</v>
      </c>
      <c r="G17" s="6" t="n">
        <v>17.97</v>
      </c>
      <c r="H17" s="6" t="n">
        <v>478.8</v>
      </c>
      <c r="I17" s="6" t="n">
        <v>330.72</v>
      </c>
      <c r="J17" s="6" t="n">
        <v>5</v>
      </c>
      <c r="K17" s="6" t="n">
        <v>35.94</v>
      </c>
      <c r="L17" s="6" t="n">
        <v>30.94</v>
      </c>
      <c r="M17" s="6" t="n">
        <v>4.68</v>
      </c>
      <c r="N17" s="6" t="n">
        <v>3.23</v>
      </c>
    </row>
    <row collapsed="false" customFormat="false" customHeight="false" hidden="false" ht="12.1" outlineLevel="0" r="18">
      <c r="A18" s="37" t="n">
        <v>45126</v>
      </c>
      <c r="B18" s="16" t="s">
        <v>887</v>
      </c>
      <c r="C18" s="16" t="s">
        <v>68</v>
      </c>
      <c r="D18" s="16" t="s">
        <v>69</v>
      </c>
      <c r="E18" s="7" t="n">
        <v>200</v>
      </c>
      <c r="F18" s="16" t="s">
        <v>20</v>
      </c>
      <c r="G18" s="6" t="n">
        <v>0.41</v>
      </c>
      <c r="H18" s="6" t="n">
        <v>17.648</v>
      </c>
      <c r="I18" s="6" t="n">
        <v>13.16</v>
      </c>
      <c r="J18" s="6" t="n">
        <v>11</v>
      </c>
      <c r="K18" s="6" t="n">
        <v>82</v>
      </c>
      <c r="L18" s="6" t="n">
        <v>71</v>
      </c>
      <c r="M18" s="6" t="n">
        <v>2.7</v>
      </c>
      <c r="N18" s="6" t="n">
        <v>2.01</v>
      </c>
    </row>
    <row collapsed="false" customFormat="false" customHeight="false" hidden="false" ht="12.1" outlineLevel="0" r="19">
      <c r="A19" s="37" t="n">
        <v>45127</v>
      </c>
      <c r="B19" s="16" t="s">
        <v>887</v>
      </c>
      <c r="C19" s="16" t="s">
        <v>25</v>
      </c>
      <c r="D19" s="16" t="s">
        <v>26</v>
      </c>
      <c r="E19" s="7" t="n">
        <v>100</v>
      </c>
      <c r="F19" s="16" t="s">
        <v>20</v>
      </c>
      <c r="G19" s="6" t="n">
        <v>0.8</v>
      </c>
      <c r="H19" s="6" t="n">
        <v>42.025</v>
      </c>
      <c r="I19" s="6" t="n">
        <v>36.42</v>
      </c>
      <c r="J19" s="6" t="n">
        <v>10</v>
      </c>
      <c r="K19" s="6" t="n">
        <v>80</v>
      </c>
      <c r="L19" s="6" t="n">
        <v>70</v>
      </c>
      <c r="M19" s="6" t="n">
        <v>1.92</v>
      </c>
      <c r="N19" s="6" t="n">
        <v>1.67</v>
      </c>
    </row>
    <row collapsed="false" customFormat="false" customHeight="false" hidden="false" ht="12.1" outlineLevel="0" r="20">
      <c r="A20" s="37" t="n">
        <v>45191</v>
      </c>
      <c r="B20" s="16" t="s">
        <v>887</v>
      </c>
      <c r="C20" s="16" t="s">
        <v>78</v>
      </c>
      <c r="D20" s="16" t="s">
        <v>79</v>
      </c>
      <c r="E20" s="7" t="n">
        <v>4</v>
      </c>
      <c r="F20" s="16" t="s">
        <v>20</v>
      </c>
      <c r="G20" s="6" t="n">
        <v>16</v>
      </c>
      <c r="H20" s="6" t="n">
        <v>893</v>
      </c>
      <c r="I20" s="6" t="n">
        <v>596.43</v>
      </c>
      <c r="J20" s="6" t="n">
        <v>8</v>
      </c>
      <c r="K20" s="6" t="n">
        <v>64</v>
      </c>
      <c r="L20" s="6" t="n">
        <v>56</v>
      </c>
      <c r="M20" s="6" t="n">
        <v>2.35</v>
      </c>
      <c r="N20" s="6" t="n">
        <v>1.57</v>
      </c>
    </row>
    <row collapsed="false" customFormat="false" customHeight="false" hidden="false" ht="12.1" outlineLevel="0" r="21">
      <c r="A21" s="37" t="n">
        <v>45217</v>
      </c>
      <c r="B21" s="16" t="s">
        <v>887</v>
      </c>
      <c r="C21" s="16" t="s">
        <v>80</v>
      </c>
      <c r="D21" s="16" t="s">
        <v>81</v>
      </c>
      <c r="E21" s="7" t="n">
        <v>40</v>
      </c>
      <c r="F21" s="16" t="s">
        <v>20</v>
      </c>
      <c r="G21" s="6" t="n">
        <v>3.77</v>
      </c>
      <c r="H21" s="6" t="n">
        <v>72.82</v>
      </c>
      <c r="I21" s="6" t="n">
        <v>69.08</v>
      </c>
      <c r="J21" s="6" t="n">
        <v>20</v>
      </c>
      <c r="K21" s="6" t="n">
        <v>150.8</v>
      </c>
      <c r="L21" s="6" t="n">
        <v>130.8</v>
      </c>
      <c r="M21" s="6" t="n">
        <v>4.73</v>
      </c>
      <c r="N21" s="6" t="n">
        <v>4.49</v>
      </c>
    </row>
    <row collapsed="false" customFormat="false" customHeight="false" hidden="false" ht="12.1" outlineLevel="0" r="22">
      <c r="A22" s="37" t="n">
        <v>45263</v>
      </c>
      <c r="B22" s="16" t="s">
        <v>887</v>
      </c>
      <c r="C22" s="16" t="s">
        <v>96</v>
      </c>
      <c r="D22" s="16" t="s">
        <v>97</v>
      </c>
      <c r="E22" s="7" t="n">
        <v>20</v>
      </c>
      <c r="F22" s="16" t="s">
        <v>20</v>
      </c>
      <c r="G22" s="6" t="n">
        <v>2</v>
      </c>
      <c r="H22" s="6" t="n">
        <v>65.3</v>
      </c>
      <c r="I22" s="6" t="n">
        <v>45.32</v>
      </c>
      <c r="J22" s="6" t="n">
        <v>5</v>
      </c>
      <c r="K22" s="6" t="n">
        <v>40</v>
      </c>
      <c r="L22" s="6" t="n">
        <v>35</v>
      </c>
      <c r="M22" s="6" t="n">
        <v>3.86</v>
      </c>
      <c r="N22" s="6" t="n">
        <v>2.68</v>
      </c>
    </row>
    <row collapsed="false" customFormat="false" customHeight="false" hidden="false" ht="12.1" outlineLevel="0" r="23">
      <c r="A23" s="37" t="n">
        <v>45269</v>
      </c>
      <c r="B23" s="16" t="s">
        <v>887</v>
      </c>
      <c r="C23" s="16" t="s">
        <v>78</v>
      </c>
      <c r="D23" s="16" t="s">
        <v>79</v>
      </c>
      <c r="E23" s="7" t="n">
        <v>4</v>
      </c>
      <c r="F23" s="16" t="s">
        <v>20</v>
      </c>
      <c r="G23" s="6" t="n">
        <v>19</v>
      </c>
      <c r="H23" s="6" t="n">
        <v>812.5</v>
      </c>
      <c r="I23" s="6" t="n">
        <v>596.43</v>
      </c>
      <c r="J23" s="6" t="n">
        <v>10</v>
      </c>
      <c r="K23" s="6" t="n">
        <v>76</v>
      </c>
      <c r="L23" s="6" t="n">
        <v>66</v>
      </c>
      <c r="M23" s="6" t="n">
        <v>2.77</v>
      </c>
      <c r="N23" s="6" t="n">
        <v>2.03</v>
      </c>
    </row>
    <row collapsed="false" customFormat="false" customHeight="false" hidden="false" ht="12.1" outlineLevel="0" r="24">
      <c r="A24" s="37" t="n">
        <v>45277</v>
      </c>
      <c r="B24" s="16" t="s">
        <v>887</v>
      </c>
      <c r="C24" s="16" t="s">
        <v>54</v>
      </c>
      <c r="D24" s="16" t="s">
        <v>55</v>
      </c>
      <c r="E24" s="7" t="n">
        <v>1</v>
      </c>
      <c r="F24" s="16" t="s">
        <v>20</v>
      </c>
      <c r="G24" s="6" t="n">
        <v>447</v>
      </c>
      <c r="H24" s="6" t="n">
        <v>6560</v>
      </c>
      <c r="I24" s="6" t="n">
        <v>3802.28</v>
      </c>
      <c r="J24" s="6" t="n">
        <v>58</v>
      </c>
      <c r="K24" s="6" t="n">
        <v>447</v>
      </c>
      <c r="L24" s="6" t="n">
        <v>389</v>
      </c>
      <c r="M24" s="6" t="n">
        <v>10.23</v>
      </c>
      <c r="N24" s="6" t="n">
        <v>5.93</v>
      </c>
    </row>
    <row collapsed="false" customFormat="false" customHeight="false" hidden="false" ht="12.1" outlineLevel="0" r="25">
      <c r="A25" s="37" t="n">
        <v>45302</v>
      </c>
      <c r="B25" s="16" t="s">
        <v>887</v>
      </c>
      <c r="C25" s="16" t="s">
        <v>17</v>
      </c>
      <c r="D25" s="16" t="s">
        <v>19</v>
      </c>
      <c r="E25" s="7" t="n">
        <v>3</v>
      </c>
      <c r="F25" s="16" t="s">
        <v>20</v>
      </c>
      <c r="G25" s="6" t="n">
        <v>30.77</v>
      </c>
      <c r="H25" s="6" t="n">
        <v>579.6</v>
      </c>
      <c r="I25" s="6" t="n">
        <v>397.1</v>
      </c>
      <c r="J25" s="6" t="n">
        <v>12</v>
      </c>
      <c r="K25" s="6" t="n">
        <v>92.31</v>
      </c>
      <c r="L25" s="6" t="n">
        <v>80.31</v>
      </c>
      <c r="M25" s="6" t="n">
        <v>6.74</v>
      </c>
      <c r="N25" s="6" t="n">
        <v>4.62</v>
      </c>
    </row>
    <row collapsed="false" customFormat="false" customHeight="false" hidden="false" ht="12.1" outlineLevel="0" r="26">
      <c r="A26" s="37" t="n">
        <v>45377</v>
      </c>
      <c r="B26" s="16" t="s">
        <v>887</v>
      </c>
      <c r="C26" s="16" t="s">
        <v>52</v>
      </c>
      <c r="D26" s="16" t="s">
        <v>53</v>
      </c>
      <c r="E26" s="7" t="n">
        <v>5</v>
      </c>
      <c r="F26" s="16" t="s">
        <v>20</v>
      </c>
      <c r="G26" s="6" t="n">
        <v>44.09</v>
      </c>
      <c r="H26" s="6" t="n">
        <v>1316.8</v>
      </c>
      <c r="I26" s="6" t="n">
        <v>1341.07</v>
      </c>
      <c r="J26" s="6" t="n">
        <v>29</v>
      </c>
      <c r="K26" s="6" t="n">
        <v>220.45</v>
      </c>
      <c r="L26" s="6" t="n">
        <v>191.45</v>
      </c>
      <c r="M26" s="6" t="n">
        <v>2.86</v>
      </c>
      <c r="N26" s="6" t="n">
        <v>2.91</v>
      </c>
    </row>
    <row collapsed="false" customFormat="false" customHeight="false" hidden="false" ht="12.1" outlineLevel="0" r="27">
      <c r="A27" s="37" t="n">
        <v>45414</v>
      </c>
      <c r="B27" s="16" t="s">
        <v>887</v>
      </c>
      <c r="C27" s="16" t="s">
        <v>108</v>
      </c>
      <c r="D27" s="16" t="s">
        <v>109</v>
      </c>
      <c r="E27" s="7" t="n">
        <v>1</v>
      </c>
      <c r="F27" s="16" t="s">
        <v>20</v>
      </c>
      <c r="G27" s="6" t="n">
        <v>100</v>
      </c>
      <c r="H27" s="6" t="n">
        <v>969</v>
      </c>
      <c r="I27" s="6" t="n">
        <v>498.25</v>
      </c>
      <c r="J27" s="6" t="n">
        <v>13</v>
      </c>
      <c r="K27" s="6" t="n">
        <v>100</v>
      </c>
      <c r="L27" s="6" t="n">
        <v>87</v>
      </c>
      <c r="M27" s="6" t="n">
        <v>17.46</v>
      </c>
      <c r="N27" s="6" t="n">
        <v>8.98</v>
      </c>
    </row>
    <row collapsed="false" customFormat="false" customHeight="false" hidden="false" ht="12.1" outlineLevel="0" r="28">
      <c r="A28" s="37" t="n">
        <v>45419</v>
      </c>
      <c r="B28" s="16" t="s">
        <v>887</v>
      </c>
      <c r="C28" s="16" t="s">
        <v>54</v>
      </c>
      <c r="D28" s="16" t="s">
        <v>55</v>
      </c>
      <c r="E28" s="7" t="n">
        <v>1</v>
      </c>
      <c r="F28" s="16" t="s">
        <v>20</v>
      </c>
      <c r="G28" s="6" t="n">
        <v>498</v>
      </c>
      <c r="H28" s="6" t="n">
        <v>7722.5</v>
      </c>
      <c r="I28" s="6" t="n">
        <v>3802.28</v>
      </c>
      <c r="J28" s="6" t="n">
        <v>65</v>
      </c>
      <c r="K28" s="6" t="n">
        <v>498</v>
      </c>
      <c r="L28" s="6" t="n">
        <v>433</v>
      </c>
      <c r="M28" s="6" t="n">
        <v>11.39</v>
      </c>
      <c r="N28" s="6" t="n">
        <v>5.61</v>
      </c>
    </row>
    <row collapsed="false" customFormat="false" customHeight="false" hidden="false" ht="12.1" outlineLevel="0" r="29">
      <c r="A29" s="37" t="n">
        <v>45443</v>
      </c>
      <c r="B29" s="16" t="s">
        <v>887</v>
      </c>
      <c r="C29" s="16" t="s">
        <v>80</v>
      </c>
      <c r="D29" s="16" t="s">
        <v>81</v>
      </c>
      <c r="E29" s="7" t="n">
        <v>40</v>
      </c>
      <c r="F29" s="16" t="s">
        <v>20</v>
      </c>
      <c r="G29" s="6" t="n">
        <v>2.02</v>
      </c>
      <c r="H29" s="6" t="n">
        <v>74.98</v>
      </c>
      <c r="I29" s="6" t="n">
        <v>69.08</v>
      </c>
      <c r="J29" s="6" t="n">
        <v>11</v>
      </c>
      <c r="K29" s="6" t="n">
        <v>80.8</v>
      </c>
      <c r="L29" s="6" t="n">
        <v>69.8</v>
      </c>
      <c r="M29" s="6" t="n">
        <v>2.53</v>
      </c>
      <c r="N29" s="6" t="n">
        <v>2.33</v>
      </c>
    </row>
    <row collapsed="false" customFormat="false" customHeight="false" hidden="false" ht="12.1" outlineLevel="0" r="30">
      <c r="A30" s="37" t="n">
        <v>45446</v>
      </c>
      <c r="B30" s="16" t="s">
        <v>887</v>
      </c>
      <c r="C30" s="16" t="s">
        <v>90</v>
      </c>
      <c r="D30" s="16" t="s">
        <v>91</v>
      </c>
      <c r="E30" s="7" t="n">
        <v>300</v>
      </c>
      <c r="F30" s="16" t="s">
        <v>20</v>
      </c>
      <c r="G30" s="6" t="n">
        <v>0.326</v>
      </c>
      <c r="H30" s="6" t="n">
        <v>3.794</v>
      </c>
      <c r="I30" s="6" t="n">
        <v>3.07</v>
      </c>
      <c r="J30" s="6" t="n">
        <v>13</v>
      </c>
      <c r="K30" s="6" t="n">
        <v>97.7998</v>
      </c>
      <c r="L30" s="6" t="n">
        <v>84.8</v>
      </c>
      <c r="M30" s="6" t="n">
        <v>9.21</v>
      </c>
      <c r="N30" s="6" t="n">
        <v>7.45</v>
      </c>
    </row>
    <row collapsed="false" customFormat="false" customHeight="false" hidden="false" ht="12.1" outlineLevel="0" r="31">
      <c r="A31" s="37" t="n">
        <v>45453</v>
      </c>
      <c r="B31" s="16" t="s">
        <v>887</v>
      </c>
      <c r="C31" s="16" t="s">
        <v>116</v>
      </c>
      <c r="D31" s="16" t="s">
        <v>117</v>
      </c>
      <c r="E31" s="7" t="n">
        <v>10</v>
      </c>
      <c r="F31" s="16" t="s">
        <v>20</v>
      </c>
      <c r="G31" s="6" t="n">
        <v>2.752</v>
      </c>
      <c r="H31" s="6" t="n">
        <v>55.06</v>
      </c>
      <c r="I31" s="6" t="n">
        <v>32.02</v>
      </c>
      <c r="J31" s="6" t="n">
        <v>4</v>
      </c>
      <c r="K31" s="6" t="n">
        <v>27.52</v>
      </c>
      <c r="L31" s="6" t="n">
        <v>23.52</v>
      </c>
      <c r="M31" s="6" t="n">
        <v>7.35</v>
      </c>
      <c r="N31" s="6" t="n">
        <v>4.27</v>
      </c>
    </row>
    <row collapsed="false" customFormat="false" customHeight="false" hidden="false" ht="12.1" outlineLevel="0" r="32">
      <c r="A32" s="37" t="n">
        <v>45457</v>
      </c>
      <c r="B32" s="16" t="s">
        <v>887</v>
      </c>
      <c r="C32" s="16" t="s">
        <v>76</v>
      </c>
      <c r="D32" s="16" t="s">
        <v>77</v>
      </c>
      <c r="E32" s="7" t="n">
        <v>10</v>
      </c>
      <c r="F32" s="16" t="s">
        <v>20</v>
      </c>
      <c r="G32" s="6" t="n">
        <v>17.35</v>
      </c>
      <c r="H32" s="6" t="n">
        <v>240.1</v>
      </c>
      <c r="I32" s="6" t="n">
        <v>92.76</v>
      </c>
      <c r="J32" s="6" t="n">
        <v>23</v>
      </c>
      <c r="K32" s="6" t="n">
        <v>173.5</v>
      </c>
      <c r="L32" s="6" t="n">
        <v>150.5</v>
      </c>
      <c r="M32" s="6" t="n">
        <v>16.23</v>
      </c>
      <c r="N32" s="6" t="n">
        <v>6.27</v>
      </c>
    </row>
    <row collapsed="false" customFormat="false" customHeight="false" hidden="false" ht="12.1" outlineLevel="0" r="33">
      <c r="A33" s="37" t="n">
        <v>45458</v>
      </c>
      <c r="B33" s="16" t="s">
        <v>887</v>
      </c>
      <c r="C33" s="16" t="s">
        <v>96</v>
      </c>
      <c r="D33" s="16" t="s">
        <v>97</v>
      </c>
      <c r="E33" s="7" t="n">
        <v>20</v>
      </c>
      <c r="F33" s="16" t="s">
        <v>20</v>
      </c>
      <c r="G33" s="6" t="n">
        <v>2</v>
      </c>
      <c r="H33" s="6" t="n">
        <v>69.26</v>
      </c>
      <c r="I33" s="6" t="n">
        <v>45.32</v>
      </c>
      <c r="J33" s="6" t="n">
        <v>5</v>
      </c>
      <c r="K33" s="6" t="n">
        <v>40</v>
      </c>
      <c r="L33" s="6" t="n">
        <v>35</v>
      </c>
      <c r="M33" s="6" t="n">
        <v>3.86</v>
      </c>
      <c r="N33" s="6" t="n">
        <v>2.53</v>
      </c>
    </row>
    <row collapsed="false" customFormat="false" customHeight="false" hidden="false" ht="12.1" outlineLevel="0" r="34">
      <c r="A34" s="37" t="n">
        <v>45461</v>
      </c>
      <c r="B34" s="16" t="s">
        <v>887</v>
      </c>
      <c r="C34" s="16" t="s">
        <v>100</v>
      </c>
      <c r="D34" s="16" t="s">
        <v>101</v>
      </c>
      <c r="E34" s="7" t="n">
        <v>1</v>
      </c>
      <c r="F34" s="16" t="s">
        <v>20</v>
      </c>
      <c r="G34" s="6" t="n">
        <v>38.3</v>
      </c>
      <c r="H34" s="6" t="n">
        <v>1555.6</v>
      </c>
      <c r="I34" s="6" t="n">
        <v>814.29</v>
      </c>
      <c r="J34" s="6" t="n">
        <v>5</v>
      </c>
      <c r="K34" s="6" t="n">
        <v>38.3</v>
      </c>
      <c r="L34" s="6" t="n">
        <v>33.3</v>
      </c>
      <c r="M34" s="6" t="n">
        <v>4.09</v>
      </c>
      <c r="N34" s="6" t="n">
        <v>2.14</v>
      </c>
    </row>
    <row collapsed="false" customFormat="false" customHeight="false" hidden="false" ht="12.1" outlineLevel="0" r="35">
      <c r="A35" s="37" t="n">
        <v>45461</v>
      </c>
      <c r="B35" s="16" t="s">
        <v>887</v>
      </c>
      <c r="C35" s="16" t="s">
        <v>100</v>
      </c>
      <c r="D35" s="16" t="s">
        <v>101</v>
      </c>
      <c r="E35" s="7" t="n">
        <v>1</v>
      </c>
      <c r="F35" s="16" t="s">
        <v>20</v>
      </c>
      <c r="G35" s="6" t="n">
        <v>191.51</v>
      </c>
      <c r="H35" s="6" t="n">
        <v>1555.6</v>
      </c>
      <c r="I35" s="6" t="n">
        <v>814.29</v>
      </c>
      <c r="J35" s="6" t="n">
        <v>25</v>
      </c>
      <c r="K35" s="6" t="n">
        <v>191.51</v>
      </c>
      <c r="L35" s="6" t="n">
        <v>166.51</v>
      </c>
      <c r="M35" s="6" t="n">
        <v>20.45</v>
      </c>
      <c r="N35" s="6" t="n">
        <v>10.7</v>
      </c>
    </row>
    <row collapsed="false" customFormat="false" customHeight="false" hidden="false" ht="12.1" outlineLevel="0" r="36">
      <c r="A36" s="37" t="n">
        <v>45481</v>
      </c>
      <c r="B36" s="16" t="s">
        <v>887</v>
      </c>
      <c r="C36" s="16" t="s">
        <v>78</v>
      </c>
      <c r="D36" s="16" t="s">
        <v>79</v>
      </c>
      <c r="E36" s="7" t="n">
        <v>4</v>
      </c>
      <c r="F36" s="16" t="s">
        <v>20</v>
      </c>
      <c r="G36" s="6" t="n">
        <v>10</v>
      </c>
      <c r="H36" s="6" t="n">
        <v>815</v>
      </c>
      <c r="I36" s="6" t="n">
        <v>596.43</v>
      </c>
      <c r="J36" s="6" t="n">
        <v>5</v>
      </c>
      <c r="K36" s="6" t="n">
        <v>40</v>
      </c>
      <c r="L36" s="6" t="n">
        <v>35</v>
      </c>
      <c r="M36" s="6" t="n">
        <v>1.47</v>
      </c>
      <c r="N36" s="6" t="n">
        <v>1.07</v>
      </c>
    </row>
    <row collapsed="false" customFormat="false" customHeight="false" hidden="false" ht="12.1" outlineLevel="0" r="37">
      <c r="A37" s="37" t="n">
        <v>45481</v>
      </c>
      <c r="B37" s="16" t="s">
        <v>887</v>
      </c>
      <c r="C37" s="16" t="s">
        <v>78</v>
      </c>
      <c r="D37" s="16" t="s">
        <v>79</v>
      </c>
      <c r="E37" s="7" t="n">
        <v>4</v>
      </c>
      <c r="F37" s="16" t="s">
        <v>20</v>
      </c>
      <c r="G37" s="6" t="n">
        <v>10</v>
      </c>
      <c r="H37" s="6" t="n">
        <v>815</v>
      </c>
      <c r="I37" s="6" t="n">
        <v>596.43</v>
      </c>
      <c r="J37" s="6" t="n">
        <v>5</v>
      </c>
      <c r="K37" s="6" t="n">
        <v>40</v>
      </c>
      <c r="L37" s="6" t="n">
        <v>35</v>
      </c>
      <c r="M37" s="6" t="n">
        <v>1.47</v>
      </c>
      <c r="N37" s="6" t="n">
        <v>1.07</v>
      </c>
    </row>
    <row collapsed="false" customFormat="false" customHeight="false" hidden="false" ht="12.1" outlineLevel="0" r="38">
      <c r="A38" s="37" t="n">
        <v>45482</v>
      </c>
      <c r="B38" s="16" t="s">
        <v>887</v>
      </c>
      <c r="C38" s="16" t="s">
        <v>17</v>
      </c>
      <c r="D38" s="16" t="s">
        <v>19</v>
      </c>
      <c r="E38" s="7" t="n">
        <v>3</v>
      </c>
      <c r="F38" s="16" t="s">
        <v>20</v>
      </c>
      <c r="G38" s="6" t="n">
        <v>29.01</v>
      </c>
      <c r="H38" s="6" t="n">
        <v>524.6</v>
      </c>
      <c r="I38" s="6" t="n">
        <v>397.1</v>
      </c>
      <c r="J38" s="6" t="n">
        <v>11</v>
      </c>
      <c r="K38" s="6" t="n">
        <v>87.03</v>
      </c>
      <c r="L38" s="6" t="n">
        <v>76.03</v>
      </c>
      <c r="M38" s="6" t="n">
        <v>6.38</v>
      </c>
      <c r="N38" s="6" t="n">
        <v>4.83</v>
      </c>
    </row>
    <row collapsed="false" customFormat="false" customHeight="false" hidden="false" ht="12.1" outlineLevel="0" r="39">
      <c r="A39" s="37" t="n">
        <v>45482</v>
      </c>
      <c r="B39" s="16" t="s">
        <v>887</v>
      </c>
      <c r="C39" s="16" t="s">
        <v>106</v>
      </c>
      <c r="D39" s="16" t="s">
        <v>107</v>
      </c>
      <c r="E39" s="7" t="n">
        <v>3</v>
      </c>
      <c r="F39" s="16" t="s">
        <v>20</v>
      </c>
      <c r="G39" s="6" t="n">
        <v>7.89</v>
      </c>
      <c r="H39" s="6" t="n">
        <v>519.45</v>
      </c>
      <c r="I39" s="6" t="n">
        <v>555.28</v>
      </c>
      <c r="J39" s="6" t="n">
        <v>3</v>
      </c>
      <c r="K39" s="6" t="n">
        <v>23.67</v>
      </c>
      <c r="L39" s="6" t="n">
        <v>20.67</v>
      </c>
      <c r="M39" s="6" t="n">
        <v>1.24</v>
      </c>
      <c r="N39" s="6" t="n">
        <v>1.33</v>
      </c>
    </row>
    <row collapsed="false" customFormat="false" customHeight="false" hidden="false" ht="12.1" outlineLevel="0" r="40">
      <c r="A40" s="37" t="n">
        <v>45484</v>
      </c>
      <c r="B40" s="16" t="s">
        <v>887</v>
      </c>
      <c r="C40" s="16" t="s">
        <v>612</v>
      </c>
      <c r="D40" s="16" t="s">
        <v>889</v>
      </c>
      <c r="E40" s="7" t="n">
        <v>22000</v>
      </c>
      <c r="F40" s="16" t="s">
        <v>20</v>
      </c>
      <c r="G40" s="6" t="n">
        <v>0.0018</v>
      </c>
      <c r="H40" s="6" t="n">
        <v>0.16684</v>
      </c>
      <c r="I40" s="6" t="n">
        <v>0.22</v>
      </c>
      <c r="J40" s="6" t="n">
        <v>5</v>
      </c>
      <c r="K40" s="6" t="n">
        <v>39.6</v>
      </c>
      <c r="L40" s="6" t="n">
        <v>34.6</v>
      </c>
      <c r="M40" s="6" t="n">
        <v>0.7</v>
      </c>
      <c r="N40" s="6" t="n">
        <v>0.94</v>
      </c>
    </row>
    <row collapsed="false" customFormat="false" customHeight="false" hidden="false" ht="12.1" outlineLevel="0" r="41">
      <c r="A41" s="37" t="n">
        <v>45484</v>
      </c>
      <c r="B41" s="16" t="s">
        <v>887</v>
      </c>
      <c r="C41" s="16" t="s">
        <v>593</v>
      </c>
      <c r="D41" s="16" t="s">
        <v>888</v>
      </c>
      <c r="E41" s="7" t="n">
        <v>10</v>
      </c>
      <c r="F41" s="16" t="s">
        <v>20</v>
      </c>
      <c r="G41" s="6" t="n">
        <v>33.3</v>
      </c>
      <c r="H41" s="6" t="n">
        <v>296</v>
      </c>
      <c r="I41" s="6" t="n">
        <v>138.78</v>
      </c>
      <c r="J41" s="6" t="n">
        <v>43</v>
      </c>
      <c r="K41" s="6" t="n">
        <v>333</v>
      </c>
      <c r="L41" s="6" t="n">
        <v>290</v>
      </c>
      <c r="M41" s="6" t="n">
        <v>20.9</v>
      </c>
      <c r="N41" s="6" t="n">
        <v>9.8</v>
      </c>
    </row>
    <row collapsed="false" customFormat="false" customHeight="false" hidden="false" ht="12.1" outlineLevel="0" r="42">
      <c r="A42" s="37" t="n">
        <v>45488</v>
      </c>
      <c r="B42" s="16" t="s">
        <v>887</v>
      </c>
      <c r="C42" s="16" t="s">
        <v>43</v>
      </c>
      <c r="D42" s="16" t="s">
        <v>44</v>
      </c>
      <c r="E42" s="7" t="n">
        <v>1</v>
      </c>
      <c r="F42" s="16" t="s">
        <v>20</v>
      </c>
      <c r="G42" s="6" t="n">
        <v>412.13</v>
      </c>
      <c r="H42" s="6" t="n">
        <v>5890</v>
      </c>
      <c r="I42" s="6" t="n">
        <v>6424.64</v>
      </c>
      <c r="J42" s="6" t="n">
        <v>54</v>
      </c>
      <c r="K42" s="6" t="n">
        <v>412.13</v>
      </c>
      <c r="L42" s="6" t="n">
        <v>358.13</v>
      </c>
      <c r="M42" s="6" t="n">
        <v>5.57</v>
      </c>
      <c r="N42" s="6" t="n">
        <v>6.08</v>
      </c>
    </row>
    <row collapsed="false" customFormat="false" customHeight="false" hidden="false" ht="12.1" outlineLevel="0" r="43">
      <c r="A43" s="37" t="n">
        <v>45490</v>
      </c>
      <c r="B43" s="16" t="s">
        <v>887</v>
      </c>
      <c r="C43" s="16" t="s">
        <v>68</v>
      </c>
      <c r="D43" s="16" t="s">
        <v>69</v>
      </c>
      <c r="E43" s="7" t="n">
        <v>200</v>
      </c>
      <c r="F43" s="16" t="s">
        <v>20</v>
      </c>
      <c r="G43" s="6" t="n">
        <v>0.52</v>
      </c>
      <c r="H43" s="6" t="n">
        <v>21.288</v>
      </c>
      <c r="I43" s="6" t="n">
        <v>13.16</v>
      </c>
      <c r="J43" s="6" t="n">
        <v>14</v>
      </c>
      <c r="K43" s="6" t="n">
        <v>104</v>
      </c>
      <c r="L43" s="6" t="n">
        <v>90</v>
      </c>
      <c r="M43" s="6" t="n">
        <v>3.42</v>
      </c>
      <c r="N43" s="6" t="n">
        <v>2.11</v>
      </c>
    </row>
    <row collapsed="false" customFormat="false" customHeight="false" hidden="false" ht="12.1" outlineLevel="0" r="44">
      <c r="A44" s="37" t="n">
        <v>45491</v>
      </c>
      <c r="B44" s="16" t="s">
        <v>887</v>
      </c>
      <c r="C44" s="16" t="s">
        <v>25</v>
      </c>
      <c r="D44" s="16" t="s">
        <v>26</v>
      </c>
      <c r="E44" s="7" t="n">
        <v>100</v>
      </c>
      <c r="F44" s="16" t="s">
        <v>20</v>
      </c>
      <c r="G44" s="6" t="n">
        <v>12.29</v>
      </c>
      <c r="H44" s="6" t="n">
        <v>49.27</v>
      </c>
      <c r="I44" s="6" t="n">
        <v>36.42</v>
      </c>
      <c r="J44" s="6" t="n">
        <v>160</v>
      </c>
      <c r="K44" s="6" t="n">
        <v>1229</v>
      </c>
      <c r="L44" s="6" t="n">
        <v>1069</v>
      </c>
      <c r="M44" s="6" t="n">
        <v>29.35</v>
      </c>
      <c r="N44" s="6" t="n">
        <v>21.7</v>
      </c>
    </row>
    <row collapsed="false" customFormat="false" customHeight="false" hidden="false" ht="12.1" outlineLevel="0" r="45">
      <c r="A45" s="37" t="n">
        <v>45491</v>
      </c>
      <c r="B45" s="16" t="s">
        <v>887</v>
      </c>
      <c r="C45" s="16" t="s">
        <v>60</v>
      </c>
      <c r="D45" s="16" t="s">
        <v>61</v>
      </c>
      <c r="E45" s="7" t="n">
        <v>200</v>
      </c>
      <c r="F45" s="16" t="s">
        <v>20</v>
      </c>
      <c r="G45" s="6" t="n">
        <v>0.85</v>
      </c>
      <c r="H45" s="6" t="n">
        <v>27.855</v>
      </c>
      <c r="I45" s="6" t="n">
        <v>32.29</v>
      </c>
      <c r="J45" s="6" t="n">
        <v>22</v>
      </c>
      <c r="K45" s="6" t="n">
        <v>170</v>
      </c>
      <c r="L45" s="6" t="n">
        <v>148</v>
      </c>
      <c r="M45" s="6" t="n">
        <v>2.29</v>
      </c>
      <c r="N45" s="6" t="n">
        <v>2.66</v>
      </c>
    </row>
    <row collapsed="false" customFormat="false" customHeight="false" hidden="false" ht="12.1" outlineLevel="0" r="46">
      <c r="A46" s="37" t="n">
        <v>45491</v>
      </c>
      <c r="B46" s="16" t="s">
        <v>887</v>
      </c>
      <c r="C46" s="16" t="s">
        <v>66</v>
      </c>
      <c r="D46" s="16" t="s">
        <v>67</v>
      </c>
      <c r="E46" s="7" t="n">
        <v>2</v>
      </c>
      <c r="F46" s="16" t="s">
        <v>20</v>
      </c>
      <c r="G46" s="6" t="n">
        <v>177.2</v>
      </c>
      <c r="H46" s="6" t="n">
        <v>1323.5</v>
      </c>
      <c r="I46" s="6" t="n">
        <v>1438.66</v>
      </c>
      <c r="J46" s="6" t="n">
        <v>46</v>
      </c>
      <c r="K46" s="6" t="n">
        <v>354.4</v>
      </c>
      <c r="L46" s="6" t="n">
        <v>308.4</v>
      </c>
      <c r="M46" s="6" t="n">
        <v>10.72</v>
      </c>
      <c r="N46" s="6" t="n">
        <v>11.65</v>
      </c>
    </row>
    <row collapsed="false" customFormat="false" customHeight="false" hidden="false" ht="12.1" outlineLevel="0" r="47">
      <c r="A47" s="37" t="n">
        <v>45545</v>
      </c>
      <c r="B47" s="16" t="s">
        <v>887</v>
      </c>
      <c r="C47" s="16" t="s">
        <v>100</v>
      </c>
      <c r="D47" s="16" t="s">
        <v>101</v>
      </c>
      <c r="E47" s="7" t="n">
        <v>1</v>
      </c>
      <c r="F47" s="16" t="s">
        <v>20</v>
      </c>
      <c r="G47" s="6" t="n">
        <v>31.06</v>
      </c>
      <c r="H47" s="6" t="n">
        <v>1254.2</v>
      </c>
      <c r="I47" s="6" t="n">
        <v>814.29</v>
      </c>
      <c r="J47" s="6" t="n">
        <v>4</v>
      </c>
      <c r="K47" s="6" t="n">
        <v>31.06</v>
      </c>
      <c r="L47" s="6" t="n">
        <v>27.06</v>
      </c>
      <c r="M47" s="6" t="n">
        <v>3.32</v>
      </c>
      <c r="N47" s="6" t="n">
        <v>2.16</v>
      </c>
    </row>
    <row collapsed="false" customFormat="false" customHeight="false" hidden="false" ht="12.1" outlineLevel="0" r="48">
      <c r="A48" s="37" t="n">
        <v>45562</v>
      </c>
      <c r="B48" s="16" t="s">
        <v>887</v>
      </c>
      <c r="C48" s="16" t="s">
        <v>88</v>
      </c>
      <c r="D48" s="16" t="s">
        <v>89</v>
      </c>
      <c r="E48" s="7" t="n">
        <v>20</v>
      </c>
      <c r="F48" s="16" t="s">
        <v>20</v>
      </c>
      <c r="G48" s="6" t="n">
        <v>6.06</v>
      </c>
      <c r="H48" s="6" t="n">
        <v>76.67</v>
      </c>
      <c r="I48" s="6" t="n">
        <v>70.18</v>
      </c>
      <c r="J48" s="6" t="n">
        <v>16</v>
      </c>
      <c r="K48" s="6" t="n">
        <v>121.2</v>
      </c>
      <c r="L48" s="6" t="n">
        <v>105.2</v>
      </c>
      <c r="M48" s="6" t="n">
        <v>7.5</v>
      </c>
      <c r="N48" s="6" t="n">
        <v>6.86</v>
      </c>
    </row>
    <row collapsed="false" customFormat="false" customHeight="false" hidden="false" ht="12.1" outlineLevel="0" r="49">
      <c r="A49" s="37" t="n">
        <v>45571</v>
      </c>
      <c r="B49" s="16" t="s">
        <v>887</v>
      </c>
      <c r="C49" s="16" t="s">
        <v>78</v>
      </c>
      <c r="D49" s="16" t="s">
        <v>79</v>
      </c>
      <c r="E49" s="7" t="n">
        <v>4</v>
      </c>
      <c r="F49" s="16" t="s">
        <v>20</v>
      </c>
      <c r="G49" s="6" t="n">
        <v>10</v>
      </c>
      <c r="H49" s="6" t="n">
        <v>628.5</v>
      </c>
      <c r="I49" s="6" t="n">
        <v>596.43</v>
      </c>
      <c r="J49" s="6" t="n">
        <v>5</v>
      </c>
      <c r="K49" s="6" t="n">
        <v>40</v>
      </c>
      <c r="L49" s="6" t="n">
        <v>35</v>
      </c>
      <c r="M49" s="6" t="n">
        <v>1.47</v>
      </c>
      <c r="N49" s="6" t="n">
        <v>1.39</v>
      </c>
    </row>
    <row collapsed="false" customFormat="false" customHeight="false" hidden="false" ht="12.1" outlineLevel="0" r="50">
      <c r="A50" s="37" t="n">
        <v>45576</v>
      </c>
      <c r="B50" s="16" t="s">
        <v>887</v>
      </c>
      <c r="C50" s="16" t="s">
        <v>52</v>
      </c>
      <c r="D50" s="16" t="s">
        <v>53</v>
      </c>
      <c r="E50" s="7" t="n">
        <v>5</v>
      </c>
      <c r="F50" s="16" t="s">
        <v>20</v>
      </c>
      <c r="G50" s="6" t="n">
        <v>35.5</v>
      </c>
      <c r="H50" s="6" t="n">
        <v>957.8</v>
      </c>
      <c r="I50" s="6" t="n">
        <v>1341.07</v>
      </c>
      <c r="J50" s="6" t="n">
        <v>23</v>
      </c>
      <c r="K50" s="6" t="n">
        <v>177.5</v>
      </c>
      <c r="L50" s="6" t="n">
        <v>154.5</v>
      </c>
      <c r="M50" s="6" t="n">
        <v>2.3</v>
      </c>
      <c r="N50" s="6" t="n">
        <v>3.23</v>
      </c>
    </row>
    <row collapsed="false" customFormat="false" customHeight="false" hidden="false" ht="12.1" outlineLevel="0" r="51">
      <c r="A51" s="37" t="n">
        <v>45576</v>
      </c>
      <c r="B51" s="16" t="s">
        <v>887</v>
      </c>
      <c r="C51" s="16" t="s">
        <v>96</v>
      </c>
      <c r="D51" s="16" t="s">
        <v>97</v>
      </c>
      <c r="E51" s="7" t="n">
        <v>20</v>
      </c>
      <c r="F51" s="16" t="s">
        <v>20</v>
      </c>
      <c r="G51" s="6" t="n">
        <v>4</v>
      </c>
      <c r="H51" s="6" t="n">
        <v>51.92</v>
      </c>
      <c r="I51" s="6" t="n">
        <v>45.32</v>
      </c>
      <c r="J51" s="6" t="n">
        <v>10</v>
      </c>
      <c r="K51" s="6" t="n">
        <v>80</v>
      </c>
      <c r="L51" s="6" t="n">
        <v>70</v>
      </c>
      <c r="M51" s="6" t="n">
        <v>7.72</v>
      </c>
      <c r="N51" s="6" t="n">
        <v>6.74</v>
      </c>
    </row>
    <row collapsed="false" customFormat="false" customHeight="false" hidden="false" ht="12.1" outlineLevel="0" r="52">
      <c r="A52" s="37" t="n">
        <v>45579</v>
      </c>
      <c r="B52" s="16" t="s">
        <v>887</v>
      </c>
      <c r="C52" s="16" t="s">
        <v>49</v>
      </c>
      <c r="D52" s="16" t="s">
        <v>50</v>
      </c>
      <c r="E52" s="7" t="n">
        <v>12</v>
      </c>
      <c r="F52" s="16" t="s">
        <v>20</v>
      </c>
      <c r="G52" s="6" t="n">
        <v>51.96</v>
      </c>
      <c r="H52" s="6" t="n">
        <v>652.1</v>
      </c>
      <c r="I52" s="6" t="n">
        <v>655.45</v>
      </c>
      <c r="J52" s="6" t="n">
        <v>81</v>
      </c>
      <c r="K52" s="6" t="n">
        <v>623.52</v>
      </c>
      <c r="L52" s="6" t="n">
        <v>542.52</v>
      </c>
      <c r="M52" s="6" t="n">
        <v>6.9</v>
      </c>
      <c r="N52" s="6" t="n">
        <v>6.93</v>
      </c>
    </row>
    <row collapsed="false" customFormat="false" customHeight="false" hidden="false" ht="12.1" outlineLevel="0" r="53">
      <c r="A53" s="37" t="n">
        <v>45582</v>
      </c>
      <c r="B53" s="16" t="s">
        <v>887</v>
      </c>
      <c r="C53" s="16" t="s">
        <v>116</v>
      </c>
      <c r="D53" s="16" t="s">
        <v>117</v>
      </c>
      <c r="E53" s="7" t="n">
        <v>10</v>
      </c>
      <c r="F53" s="16" t="s">
        <v>20</v>
      </c>
      <c r="G53" s="6" t="n">
        <v>2.494</v>
      </c>
      <c r="H53" s="6" t="n">
        <v>40.655</v>
      </c>
      <c r="I53" s="6" t="n">
        <v>32.02</v>
      </c>
      <c r="J53" s="6" t="n">
        <v>3</v>
      </c>
      <c r="K53" s="6" t="n">
        <v>24.94</v>
      </c>
      <c r="L53" s="6" t="n">
        <v>21.94</v>
      </c>
      <c r="M53" s="6" t="n">
        <v>6.85</v>
      </c>
      <c r="N53" s="6" t="n">
        <v>5.4</v>
      </c>
    </row>
    <row collapsed="false" customFormat="false" customHeight="false" hidden="false" ht="12.1" outlineLevel="0" r="54">
      <c r="A54" s="37" t="n">
        <v>45584</v>
      </c>
      <c r="B54" s="16" t="s">
        <v>887</v>
      </c>
      <c r="C54" s="16" t="s">
        <v>80</v>
      </c>
      <c r="D54" s="16" t="s">
        <v>81</v>
      </c>
      <c r="E54" s="7" t="n">
        <v>40</v>
      </c>
      <c r="F54" s="16" t="s">
        <v>20</v>
      </c>
      <c r="G54" s="6" t="n">
        <v>2.49</v>
      </c>
      <c r="H54" s="6" t="n">
        <v>52.2</v>
      </c>
      <c r="I54" s="6" t="n">
        <v>69.08</v>
      </c>
      <c r="J54" s="6" t="n">
        <v>13</v>
      </c>
      <c r="K54" s="6" t="n">
        <v>99.6</v>
      </c>
      <c r="L54" s="6" t="n">
        <v>86.6</v>
      </c>
      <c r="M54" s="6" t="n">
        <v>3.13</v>
      </c>
      <c r="N54" s="6" t="n">
        <v>4.15</v>
      </c>
    </row>
    <row collapsed="false" customFormat="false" customHeight="false" hidden="false" ht="12.1" outlineLevel="0" r="55">
      <c r="A55" s="37" t="n">
        <v>45628</v>
      </c>
      <c r="B55" s="16" t="s">
        <v>887</v>
      </c>
      <c r="C55" s="16" t="s">
        <v>78</v>
      </c>
      <c r="D55" s="16" t="s">
        <v>79</v>
      </c>
      <c r="E55" s="7" t="n">
        <v>4</v>
      </c>
      <c r="F55" s="16" t="s">
        <v>20</v>
      </c>
      <c r="G55" s="6" t="n">
        <v>20</v>
      </c>
      <c r="H55" s="6" t="n">
        <v>593</v>
      </c>
      <c r="I55" s="6" t="n">
        <v>596.43</v>
      </c>
      <c r="J55" s="6" t="n">
        <v>10</v>
      </c>
      <c r="K55" s="6" t="n">
        <v>80</v>
      </c>
      <c r="L55" s="6" t="n">
        <v>70</v>
      </c>
      <c r="M55" s="6" t="n">
        <v>2.93</v>
      </c>
      <c r="N55" s="6" t="n">
        <v>2.95</v>
      </c>
    </row>
    <row collapsed="false" customFormat="false" customHeight="false" hidden="false" ht="12.1" outlineLevel="0" r="56">
      <c r="A56" s="37" t="n">
        <v>45632</v>
      </c>
      <c r="B56" s="16" t="s">
        <v>887</v>
      </c>
      <c r="C56" s="16" t="s">
        <v>114</v>
      </c>
      <c r="D56" s="16" t="s">
        <v>115</v>
      </c>
      <c r="E56" s="7" t="n">
        <v>3</v>
      </c>
      <c r="F56" s="16" t="s">
        <v>20</v>
      </c>
      <c r="G56" s="6" t="n">
        <v>2.11</v>
      </c>
      <c r="H56" s="6" t="n">
        <v>145.62</v>
      </c>
      <c r="I56" s="6" t="n">
        <v>220.87</v>
      </c>
      <c r="J56" s="6" t="n">
        <v>1</v>
      </c>
      <c r="K56" s="6" t="n">
        <v>6.33</v>
      </c>
      <c r="L56" s="6" t="n">
        <v>5.33</v>
      </c>
      <c r="M56" s="6" t="n">
        <v>0.8</v>
      </c>
      <c r="N56" s="6" t="n">
        <v>1.22</v>
      </c>
    </row>
    <row collapsed="false" customFormat="false" customHeight="false" hidden="false" ht="12.1" outlineLevel="0" r="57">
      <c r="A57" s="37" t="n">
        <v>45641</v>
      </c>
      <c r="B57" s="16" t="s">
        <v>887</v>
      </c>
      <c r="C57" s="16" t="s">
        <v>86</v>
      </c>
      <c r="D57" s="16" t="s">
        <v>87</v>
      </c>
      <c r="E57" s="7" t="n">
        <v>2</v>
      </c>
      <c r="F57" s="16" t="s">
        <v>20</v>
      </c>
      <c r="G57" s="6" t="n">
        <v>50</v>
      </c>
      <c r="H57" s="6" t="n">
        <v>533.2</v>
      </c>
      <c r="I57" s="6" t="n">
        <v>859.44</v>
      </c>
      <c r="J57" s="6" t="n">
        <v>13</v>
      </c>
      <c r="K57" s="6" t="n">
        <v>100</v>
      </c>
      <c r="L57" s="6" t="n">
        <v>87</v>
      </c>
      <c r="M57" s="6" t="n">
        <v>5.06</v>
      </c>
      <c r="N57" s="6" t="n">
        <v>8.16</v>
      </c>
    </row>
    <row collapsed="false" customFormat="false" customHeight="false" hidden="false" ht="12.1" outlineLevel="0" r="58">
      <c r="A58" s="37" t="n">
        <v>45639</v>
      </c>
      <c r="B58" s="16" t="s">
        <v>887</v>
      </c>
      <c r="C58" s="16" t="s">
        <v>613</v>
      </c>
      <c r="D58" s="16" t="s">
        <v>890</v>
      </c>
      <c r="E58" s="7" t="n">
        <v>1</v>
      </c>
      <c r="F58" s="16" t="s">
        <v>20</v>
      </c>
      <c r="G58" s="6" t="n">
        <v>1301.75</v>
      </c>
      <c r="H58" s="6" t="n">
        <v>13692.5</v>
      </c>
      <c r="I58" s="6" t="n">
        <v>11925.04</v>
      </c>
      <c r="J58" s="6" t="n">
        <v>169</v>
      </c>
      <c r="K58" s="6" t="n">
        <v>1301.75</v>
      </c>
      <c r="L58" s="6" t="n">
        <v>1132.75</v>
      </c>
      <c r="M58" s="6" t="n">
        <v>9.5</v>
      </c>
      <c r="N58" s="6" t="n">
        <v>8.27</v>
      </c>
    </row>
    <row collapsed="false" customFormat="false" customHeight="false" hidden="false" ht="12.1" outlineLevel="0" r="59">
      <c r="A59" s="37" t="n">
        <v>45643</v>
      </c>
      <c r="B59" s="16" t="s">
        <v>887</v>
      </c>
      <c r="C59" s="16" t="s">
        <v>54</v>
      </c>
      <c r="D59" s="16" t="s">
        <v>55</v>
      </c>
      <c r="E59" s="7" t="n">
        <v>1</v>
      </c>
      <c r="F59" s="16" t="s">
        <v>20</v>
      </c>
      <c r="G59" s="6" t="n">
        <v>514</v>
      </c>
      <c r="H59" s="6" t="n">
        <v>6290.5</v>
      </c>
      <c r="I59" s="6" t="n">
        <v>3802.28</v>
      </c>
      <c r="J59" s="6" t="n">
        <v>67</v>
      </c>
      <c r="K59" s="6" t="n">
        <v>514</v>
      </c>
      <c r="L59" s="6" t="n">
        <v>447</v>
      </c>
      <c r="M59" s="6" t="n">
        <v>11.76</v>
      </c>
      <c r="N59" s="6" t="n">
        <v>7.11</v>
      </c>
    </row>
    <row collapsed="false" customFormat="false" customHeight="false" hidden="false" ht="12.1" outlineLevel="0" r="60">
      <c r="A60" s="37" t="n">
        <v>45643</v>
      </c>
      <c r="B60" s="16" t="s">
        <v>887</v>
      </c>
      <c r="C60" s="16" t="s">
        <v>100</v>
      </c>
      <c r="D60" s="16" t="s">
        <v>101</v>
      </c>
      <c r="E60" s="7" t="n">
        <v>1</v>
      </c>
      <c r="F60" s="16" t="s">
        <v>20</v>
      </c>
      <c r="G60" s="6" t="n">
        <v>49.06</v>
      </c>
      <c r="H60" s="6" t="n">
        <v>1016.4</v>
      </c>
      <c r="I60" s="6" t="n">
        <v>814.29</v>
      </c>
      <c r="J60" s="6" t="n">
        <v>6</v>
      </c>
      <c r="K60" s="6" t="n">
        <v>49.06</v>
      </c>
      <c r="L60" s="6" t="n">
        <v>43.06</v>
      </c>
      <c r="M60" s="6" t="n">
        <v>5.29</v>
      </c>
      <c r="N60" s="6" t="n">
        <v>4.24</v>
      </c>
    </row>
    <row collapsed="false" customFormat="false" customHeight="false" hidden="false" ht="12.1" outlineLevel="0" r="61">
      <c r="A61" s="37" t="n">
        <v>45649</v>
      </c>
      <c r="B61" s="16" t="s">
        <v>887</v>
      </c>
      <c r="C61" s="16" t="s">
        <v>98</v>
      </c>
      <c r="D61" s="16" t="s">
        <v>99</v>
      </c>
      <c r="E61" s="7" t="n">
        <v>1</v>
      </c>
      <c r="F61" s="16" t="s">
        <v>20</v>
      </c>
      <c r="G61" s="6" t="n">
        <v>227.6</v>
      </c>
      <c r="H61" s="6" t="n">
        <v>1388</v>
      </c>
      <c r="I61" s="6" t="n">
        <v>1243.79</v>
      </c>
      <c r="J61" s="6" t="n">
        <v>30</v>
      </c>
      <c r="K61" s="6" t="n">
        <v>227.6</v>
      </c>
      <c r="L61" s="6" t="n">
        <v>197.6</v>
      </c>
      <c r="M61" s="6" t="n">
        <v>15.89</v>
      </c>
      <c r="N61" s="6" t="n">
        <v>14.24</v>
      </c>
    </row>
    <row collapsed="false" customFormat="false" customHeight="false" hidden="false" ht="12.1" outlineLevel="0" r="62">
      <c r="A62" s="37" t="n">
        <v>45667</v>
      </c>
      <c r="B62" s="16" t="s">
        <v>887</v>
      </c>
      <c r="C62" s="16" t="s">
        <v>17</v>
      </c>
      <c r="D62" s="16" t="s">
        <v>19</v>
      </c>
      <c r="E62" s="7" t="n">
        <v>117</v>
      </c>
      <c r="F62" s="16" t="s">
        <v>20</v>
      </c>
      <c r="G62" s="6" t="n">
        <v>36.47</v>
      </c>
      <c r="H62" s="6" t="n">
        <v>562.95</v>
      </c>
      <c r="I62" s="6" t="n">
        <v>448.53</v>
      </c>
      <c r="J62" s="6" t="n">
        <v>555</v>
      </c>
      <c r="K62" s="6" t="n">
        <v>4266.99</v>
      </c>
      <c r="L62" s="6" t="n">
        <v>3711.99</v>
      </c>
      <c r="M62" s="6" t="n">
        <v>7.07</v>
      </c>
      <c r="N62" s="6" t="n">
        <v>5.64</v>
      </c>
    </row>
    <row collapsed="false" customFormat="false" customHeight="false" hidden="false" ht="12.1" outlineLevel="0" r="63">
      <c r="A63" s="37" t="n">
        <v>45673</v>
      </c>
      <c r="B63" s="16" t="s">
        <v>887</v>
      </c>
      <c r="C63" s="16" t="s">
        <v>106</v>
      </c>
      <c r="D63" s="16" t="s">
        <v>107</v>
      </c>
      <c r="E63" s="7" t="n">
        <v>3</v>
      </c>
      <c r="F63" s="16" t="s">
        <v>20</v>
      </c>
      <c r="G63" s="6" t="n">
        <v>2.6447</v>
      </c>
      <c r="H63" s="6" t="n">
        <v>495.6</v>
      </c>
      <c r="I63" s="6" t="n">
        <v>555.28</v>
      </c>
      <c r="J63" s="6" t="n">
        <v>1</v>
      </c>
      <c r="K63" s="6" t="n">
        <v>7.934</v>
      </c>
      <c r="L63" s="6" t="n">
        <v>6.93</v>
      </c>
      <c r="M63" s="6" t="n">
        <v>0.42</v>
      </c>
      <c r="N63" s="6" t="n">
        <v>0.47</v>
      </c>
    </row>
    <row collapsed="false" customFormat="false" customHeight="false" hidden="false" ht="12.1" outlineLevel="0" r="64">
      <c r="A64" s="37" t="n">
        <v>45772</v>
      </c>
      <c r="B64" s="16" t="s">
        <v>887</v>
      </c>
      <c r="C64" s="16" t="s">
        <v>613</v>
      </c>
      <c r="D64" s="16" t="s">
        <v>890</v>
      </c>
      <c r="E64" s="7" t="n">
        <v>10</v>
      </c>
      <c r="F64" s="16" t="s">
        <v>20</v>
      </c>
      <c r="G64" s="6" t="n">
        <v>73</v>
      </c>
      <c r="H64" s="6" t="n">
        <v>1856.8</v>
      </c>
      <c r="I64" s="6" t="n">
        <v>1192.5</v>
      </c>
      <c r="J64" s="6" t="n">
        <v>95</v>
      </c>
      <c r="K64" s="6" t="n">
        <v>730</v>
      </c>
      <c r="L64" s="6" t="n">
        <v>635</v>
      </c>
      <c r="M64" s="6" t="n">
        <v>5.32</v>
      </c>
      <c r="N64" s="6" t="n">
        <v>3.42</v>
      </c>
    </row>
    <row collapsed="false" customFormat="false" customHeight="false" hidden="false" ht="12.1" outlineLevel="0" r="65">
      <c r="A65" s="37" t="n">
        <v>45775</v>
      </c>
      <c r="B65" s="16" t="s">
        <v>887</v>
      </c>
      <c r="C65" s="16" t="s">
        <v>52</v>
      </c>
      <c r="D65" s="16" t="s">
        <v>53</v>
      </c>
      <c r="E65" s="7" t="n">
        <v>5</v>
      </c>
      <c r="F65" s="16" t="s">
        <v>20</v>
      </c>
      <c r="G65" s="6" t="n">
        <v>46.65</v>
      </c>
      <c r="H65" s="6" t="n">
        <v>1266.2</v>
      </c>
      <c r="I65" s="6" t="n">
        <v>1341.07</v>
      </c>
      <c r="J65" s="6" t="n">
        <v>30</v>
      </c>
      <c r="K65" s="6" t="n">
        <v>233.25</v>
      </c>
      <c r="L65" s="6" t="n">
        <v>203.25</v>
      </c>
      <c r="M65" s="6" t="n">
        <v>3.03</v>
      </c>
      <c r="N65" s="6" t="n">
        <v>3.21</v>
      </c>
    </row>
    <row collapsed="false" customFormat="false" customHeight="false" hidden="false" ht="12.1" outlineLevel="0" r="66">
      <c r="A66" s="37" t="n">
        <v>45776</v>
      </c>
      <c r="B66" s="16" t="s">
        <v>887</v>
      </c>
      <c r="C66" s="16" t="s">
        <v>108</v>
      </c>
      <c r="D66" s="16" t="s">
        <v>109</v>
      </c>
      <c r="E66" s="7" t="n">
        <v>1</v>
      </c>
      <c r="F66" s="16" t="s">
        <v>20</v>
      </c>
      <c r="G66" s="6" t="n">
        <v>78</v>
      </c>
      <c r="H66" s="6" t="n">
        <v>780.2</v>
      </c>
      <c r="I66" s="6" t="n">
        <v>498.25</v>
      </c>
      <c r="J66" s="6" t="n">
        <v>10</v>
      </c>
      <c r="K66" s="6" t="n">
        <v>78</v>
      </c>
      <c r="L66" s="6" t="n">
        <v>68</v>
      </c>
      <c r="M66" s="6" t="n">
        <v>13.65</v>
      </c>
      <c r="N66" s="6" t="n">
        <v>8.72</v>
      </c>
    </row>
    <row collapsed="false" customFormat="false" customHeight="false" hidden="false" ht="12.1" outlineLevel="0" r="67">
      <c r="A67" s="37" t="n">
        <v>45811</v>
      </c>
      <c r="B67" s="16" t="s">
        <v>887</v>
      </c>
      <c r="C67" s="16" t="s">
        <v>54</v>
      </c>
      <c r="D67" s="16" t="s">
        <v>55</v>
      </c>
      <c r="E67" s="7" t="n">
        <v>1</v>
      </c>
      <c r="F67" s="16" t="s">
        <v>20</v>
      </c>
      <c r="G67" s="6" t="n">
        <v>541</v>
      </c>
      <c r="H67" s="6" t="n">
        <v>6473</v>
      </c>
      <c r="I67" s="6" t="n">
        <v>3802.28</v>
      </c>
      <c r="J67" s="6" t="n">
        <v>70</v>
      </c>
      <c r="K67" s="6" t="n">
        <v>541</v>
      </c>
      <c r="L67" s="6" t="n">
        <v>471</v>
      </c>
      <c r="M67" s="6" t="n">
        <v>12.39</v>
      </c>
      <c r="N67" s="6" t="n">
        <v>7.28</v>
      </c>
    </row>
    <row collapsed="false" customFormat="false" customHeight="false" hidden="false" ht="12.1" outlineLevel="0" r="68">
      <c r="A68" s="37" t="n">
        <v>45815</v>
      </c>
      <c r="B68" s="16" t="s">
        <v>887</v>
      </c>
      <c r="C68" s="16" t="s">
        <v>86</v>
      </c>
      <c r="D68" s="16" t="s">
        <v>87</v>
      </c>
      <c r="E68" s="7" t="n">
        <v>2</v>
      </c>
      <c r="F68" s="16" t="s">
        <v>20</v>
      </c>
      <c r="G68" s="6" t="n">
        <v>29</v>
      </c>
      <c r="H68" s="6" t="n">
        <v>618</v>
      </c>
      <c r="I68" s="6" t="n">
        <v>859.44</v>
      </c>
      <c r="J68" s="6" t="n">
        <v>8</v>
      </c>
      <c r="K68" s="6" t="n">
        <v>58</v>
      </c>
      <c r="L68" s="6" t="n">
        <v>50</v>
      </c>
      <c r="M68" s="6" t="n">
        <v>2.91</v>
      </c>
      <c r="N68" s="6" t="n">
        <v>4.05</v>
      </c>
    </row>
    <row collapsed="false" customFormat="false" customHeight="false" hidden="false" ht="12.1" outlineLevel="0" r="69">
      <c r="A69" s="37" t="n">
        <v>45817</v>
      </c>
      <c r="B69" s="16" t="s">
        <v>887</v>
      </c>
      <c r="C69" s="16" t="s">
        <v>90</v>
      </c>
      <c r="D69" s="16" t="s">
        <v>91</v>
      </c>
      <c r="E69" s="7" t="n">
        <v>400</v>
      </c>
      <c r="F69" s="16" t="s">
        <v>20</v>
      </c>
      <c r="G69" s="6" t="n">
        <v>0.3538</v>
      </c>
      <c r="H69" s="6" t="n">
        <v>3.276</v>
      </c>
      <c r="I69" s="6" t="n">
        <v>3.21</v>
      </c>
      <c r="J69" s="6" t="n">
        <v>18</v>
      </c>
      <c r="K69" s="6" t="n">
        <v>141.5026</v>
      </c>
      <c r="L69" s="6" t="n">
        <v>123.5</v>
      </c>
      <c r="M69" s="6" t="n">
        <v>9.62</v>
      </c>
      <c r="N69" s="6" t="n">
        <v>9.42</v>
      </c>
    </row>
    <row collapsed="false" customFormat="false" customHeight="false" hidden="false" ht="12.1" outlineLevel="0" r="70">
      <c r="A70" s="37" t="n">
        <v>45817</v>
      </c>
      <c r="B70" s="16" t="s">
        <v>887</v>
      </c>
      <c r="C70" s="16" t="s">
        <v>98</v>
      </c>
      <c r="D70" s="16" t="s">
        <v>99</v>
      </c>
      <c r="E70" s="7" t="n">
        <v>1</v>
      </c>
      <c r="F70" s="16" t="s">
        <v>20</v>
      </c>
      <c r="G70" s="6" t="n">
        <v>83.5</v>
      </c>
      <c r="H70" s="6" t="n">
        <v>1291.8</v>
      </c>
      <c r="I70" s="6" t="n">
        <v>1243.79</v>
      </c>
      <c r="J70" s="6" t="n">
        <v>11</v>
      </c>
      <c r="K70" s="6" t="n">
        <v>83.5</v>
      </c>
      <c r="L70" s="6" t="n">
        <v>72.5</v>
      </c>
      <c r="M70" s="6" t="n">
        <v>5.83</v>
      </c>
      <c r="N70" s="6" t="n">
        <v>5.61</v>
      </c>
    </row>
    <row collapsed="false" customFormat="false" customHeight="false" hidden="false" ht="12.1" outlineLevel="0" r="71">
      <c r="A71" s="37" t="n">
        <v>45845</v>
      </c>
      <c r="B71" s="16" t="s">
        <v>887</v>
      </c>
      <c r="C71" s="16" t="s">
        <v>78</v>
      </c>
      <c r="D71" s="16" t="s">
        <v>79</v>
      </c>
      <c r="E71" s="7" t="n">
        <v>4</v>
      </c>
      <c r="F71" s="16" t="s">
        <v>20</v>
      </c>
      <c r="G71" s="6" t="n">
        <v>10</v>
      </c>
      <c r="H71" s="6" t="n">
        <v>624.5</v>
      </c>
      <c r="I71" s="6" t="n">
        <v>596.43</v>
      </c>
      <c r="J71" s="6" t="n">
        <v>5</v>
      </c>
      <c r="K71" s="6" t="n">
        <v>40</v>
      </c>
      <c r="L71" s="6" t="n">
        <v>35</v>
      </c>
      <c r="M71" s="6" t="n">
        <v>1.47</v>
      </c>
      <c r="N71" s="6" t="n">
        <v>1.4</v>
      </c>
    </row>
    <row collapsed="false" customFormat="false" customHeight="false" hidden="false" ht="12.1" outlineLevel="0" r="72">
      <c r="A72" s="37" t="n">
        <v>45846</v>
      </c>
      <c r="B72" s="16" t="s">
        <v>887</v>
      </c>
      <c r="C72" s="16" t="s">
        <v>40</v>
      </c>
      <c r="D72" s="16" t="s">
        <v>41</v>
      </c>
      <c r="E72" s="7" t="n">
        <v>500</v>
      </c>
      <c r="F72" s="16" t="s">
        <v>20</v>
      </c>
      <c r="G72" s="6" t="n">
        <v>0.35</v>
      </c>
      <c r="H72" s="6" t="n">
        <v>15.54</v>
      </c>
      <c r="I72" s="6" t="n">
        <v>14.75</v>
      </c>
      <c r="J72" s="6" t="n">
        <v>23</v>
      </c>
      <c r="K72" s="6" t="n">
        <v>175</v>
      </c>
      <c r="L72" s="6" t="n">
        <v>152</v>
      </c>
      <c r="M72" s="6" t="n">
        <v>2.06</v>
      </c>
      <c r="N72" s="6" t="n">
        <v>1.96</v>
      </c>
    </row>
    <row collapsed="false" customFormat="false" customHeight="false" hidden="false" ht="12.1" outlineLevel="0" r="73">
      <c r="A73" s="37" t="n">
        <v>45846</v>
      </c>
      <c r="B73" s="16" t="s">
        <v>887</v>
      </c>
      <c r="C73" s="16" t="s">
        <v>49</v>
      </c>
      <c r="D73" s="16" t="s">
        <v>50</v>
      </c>
      <c r="E73" s="7" t="n">
        <v>12</v>
      </c>
      <c r="F73" s="16" t="s">
        <v>20</v>
      </c>
      <c r="G73" s="6" t="n">
        <v>27.21</v>
      </c>
      <c r="H73" s="6" t="n">
        <v>507.5</v>
      </c>
      <c r="I73" s="6" t="n">
        <v>655.45</v>
      </c>
      <c r="J73" s="6" t="n">
        <v>42</v>
      </c>
      <c r="K73" s="6" t="n">
        <v>326.52</v>
      </c>
      <c r="L73" s="6" t="n">
        <v>284.52</v>
      </c>
      <c r="M73" s="6" t="n">
        <v>3.62</v>
      </c>
      <c r="N73" s="6" t="n">
        <v>4.67</v>
      </c>
    </row>
    <row collapsed="false" customFormat="false" customHeight="false" hidden="false" ht="12.1" outlineLevel="0" r="74">
      <c r="A74" s="37" t="n">
        <v>45848</v>
      </c>
      <c r="B74" s="16" t="s">
        <v>887</v>
      </c>
      <c r="C74" s="16" t="s">
        <v>76</v>
      </c>
      <c r="D74" s="16" t="s">
        <v>77</v>
      </c>
      <c r="E74" s="7" t="n">
        <v>10</v>
      </c>
      <c r="F74" s="16" t="s">
        <v>20</v>
      </c>
      <c r="G74" s="6" t="n">
        <v>26.11</v>
      </c>
      <c r="H74" s="6" t="n">
        <v>172.73</v>
      </c>
      <c r="I74" s="6" t="n">
        <v>92.76</v>
      </c>
      <c r="J74" s="6" t="n">
        <v>34</v>
      </c>
      <c r="K74" s="6" t="n">
        <v>261.1</v>
      </c>
      <c r="L74" s="6" t="n">
        <v>227.1</v>
      </c>
      <c r="M74" s="6" t="n">
        <v>24.48</v>
      </c>
      <c r="N74" s="6" t="n">
        <v>13.15</v>
      </c>
    </row>
    <row collapsed="false" customFormat="false" customHeight="false" hidden="false" ht="12.1" outlineLevel="0" r="75">
      <c r="A75" s="37" t="n">
        <v>45848</v>
      </c>
      <c r="B75" s="16" t="s">
        <v>887</v>
      </c>
      <c r="C75" s="16" t="s">
        <v>106</v>
      </c>
      <c r="D75" s="16" t="s">
        <v>107</v>
      </c>
      <c r="E75" s="7" t="n">
        <v>3</v>
      </c>
      <c r="F75" s="16" t="s">
        <v>20</v>
      </c>
      <c r="G75" s="6" t="n">
        <v>3.1475</v>
      </c>
      <c r="H75" s="6" t="n">
        <v>379</v>
      </c>
      <c r="I75" s="6" t="n">
        <v>555.28</v>
      </c>
      <c r="J75" s="6" t="n">
        <v>1</v>
      </c>
      <c r="K75" s="6" t="n">
        <v>9.4426</v>
      </c>
      <c r="L75" s="6" t="n">
        <v>8.44</v>
      </c>
      <c r="M75" s="6" t="n">
        <v>0.51</v>
      </c>
      <c r="N75" s="6" t="n">
        <v>0.74</v>
      </c>
    </row>
    <row collapsed="false" customFormat="false" customHeight="false" hidden="false" ht="12.1" outlineLevel="0" r="76">
      <c r="A76" s="37" t="n">
        <v>45852</v>
      </c>
      <c r="B76" s="16" t="s">
        <v>887</v>
      </c>
      <c r="C76" s="16" t="s">
        <v>612</v>
      </c>
      <c r="D76" s="16" t="s">
        <v>889</v>
      </c>
      <c r="E76" s="7" t="n">
        <v>22000</v>
      </c>
      <c r="F76" s="16" t="s">
        <v>20</v>
      </c>
      <c r="G76" s="6" t="n">
        <v>0.0035</v>
      </c>
      <c r="H76" s="6" t="n">
        <v>0.13125</v>
      </c>
      <c r="I76" s="6" t="n">
        <v>0.22</v>
      </c>
      <c r="J76" s="6" t="n">
        <v>10</v>
      </c>
      <c r="K76" s="6" t="n">
        <v>77.77</v>
      </c>
      <c r="L76" s="6" t="n">
        <v>67.77</v>
      </c>
      <c r="M76" s="6" t="n">
        <v>1.38</v>
      </c>
      <c r="N76" s="6" t="n">
        <v>2.35</v>
      </c>
    </row>
    <row collapsed="false" customFormat="false" customHeight="false" hidden="false" ht="12.1" outlineLevel="0" r="77">
      <c r="A77" s="37" t="n">
        <v>45852</v>
      </c>
      <c r="B77" s="16" t="s">
        <v>887</v>
      </c>
      <c r="C77" s="16" t="s">
        <v>34</v>
      </c>
      <c r="D77" s="16" t="s">
        <v>35</v>
      </c>
      <c r="E77" s="7" t="n">
        <v>900</v>
      </c>
      <c r="F77" s="16" t="s">
        <v>20</v>
      </c>
      <c r="G77" s="6" t="n">
        <v>0.9573</v>
      </c>
      <c r="H77" s="6" t="n">
        <v>8.565</v>
      </c>
      <c r="I77" s="6" t="n">
        <v>8.33</v>
      </c>
      <c r="J77" s="6" t="n">
        <v>112</v>
      </c>
      <c r="K77" s="6" t="n">
        <v>861.57</v>
      </c>
      <c r="L77" s="6" t="n">
        <v>749.57</v>
      </c>
      <c r="M77" s="6" t="n">
        <v>10</v>
      </c>
      <c r="N77" s="6" t="n">
        <v>9.72</v>
      </c>
    </row>
    <row collapsed="false" customFormat="false" customHeight="false" hidden="false" ht="12.1" outlineLevel="0" r="78">
      <c r="A78" s="37" t="n">
        <v>45855</v>
      </c>
      <c r="B78" s="16" t="s">
        <v>887</v>
      </c>
      <c r="C78" s="16" t="s">
        <v>66</v>
      </c>
      <c r="D78" s="16" t="s">
        <v>67</v>
      </c>
      <c r="E78" s="7" t="n">
        <v>2</v>
      </c>
      <c r="F78" s="16" t="s">
        <v>20</v>
      </c>
      <c r="G78" s="6" t="n">
        <v>198.25</v>
      </c>
      <c r="H78" s="6" t="n">
        <v>1306</v>
      </c>
      <c r="I78" s="6" t="n">
        <v>1438.66</v>
      </c>
      <c r="J78" s="6" t="n">
        <v>52</v>
      </c>
      <c r="K78" s="6" t="n">
        <v>396.5</v>
      </c>
      <c r="L78" s="6" t="n">
        <v>344.5</v>
      </c>
      <c r="M78" s="6" t="n">
        <v>11.97</v>
      </c>
      <c r="N78" s="6" t="n">
        <v>13.19</v>
      </c>
    </row>
    <row collapsed="false" customFormat="false" customHeight="false" hidden="false" ht="12.1" outlineLevel="0" r="79">
      <c r="A79" s="37" t="n">
        <v>45855</v>
      </c>
      <c r="B79" s="16" t="s">
        <v>887</v>
      </c>
      <c r="C79" s="16" t="s">
        <v>60</v>
      </c>
      <c r="D79" s="16" t="s">
        <v>61</v>
      </c>
      <c r="E79" s="7" t="n">
        <v>200</v>
      </c>
      <c r="F79" s="16" t="s">
        <v>20</v>
      </c>
      <c r="G79" s="6" t="n">
        <v>0.9</v>
      </c>
      <c r="H79" s="6" t="n">
        <v>22.07</v>
      </c>
      <c r="I79" s="6" t="n">
        <v>32.29</v>
      </c>
      <c r="J79" s="6" t="n">
        <v>23</v>
      </c>
      <c r="K79" s="6" t="n">
        <v>180</v>
      </c>
      <c r="L79" s="6" t="n">
        <v>157</v>
      </c>
      <c r="M79" s="6" t="n">
        <v>2.43</v>
      </c>
      <c r="N79" s="6" t="n">
        <v>3.56</v>
      </c>
    </row>
    <row collapsed="false" customFormat="false" customHeight="false" hidden="false" ht="12.1" outlineLevel="0" r="80">
      <c r="A80" s="37" t="n">
        <v>45855</v>
      </c>
      <c r="B80" s="16" t="s">
        <v>887</v>
      </c>
      <c r="C80" s="16" t="s">
        <v>25</v>
      </c>
      <c r="D80" s="16" t="s">
        <v>26</v>
      </c>
      <c r="E80" s="7" t="n">
        <v>100</v>
      </c>
      <c r="F80" s="16" t="s">
        <v>20</v>
      </c>
      <c r="G80" s="6" t="n">
        <v>8.5</v>
      </c>
      <c r="H80" s="6" t="n">
        <v>45.38</v>
      </c>
      <c r="I80" s="6" t="n">
        <v>36.42</v>
      </c>
      <c r="J80" s="6" t="n">
        <v>111</v>
      </c>
      <c r="K80" s="6" t="n">
        <v>850</v>
      </c>
      <c r="L80" s="6" t="n">
        <v>739</v>
      </c>
      <c r="M80" s="6" t="n">
        <v>20.29</v>
      </c>
      <c r="N80" s="6" t="n">
        <v>16.28</v>
      </c>
    </row>
    <row collapsed="false" customFormat="false" customHeight="false" hidden="false" ht="12.1" outlineLevel="0" r="81">
      <c r="A81" s="37" t="n">
        <v>45856</v>
      </c>
      <c r="B81" s="16" t="s">
        <v>887</v>
      </c>
      <c r="C81" s="16" t="s">
        <v>28</v>
      </c>
      <c r="D81" s="16" t="s">
        <v>29</v>
      </c>
      <c r="E81" s="7" t="n">
        <v>50</v>
      </c>
      <c r="F81" s="16" t="s">
        <v>20</v>
      </c>
      <c r="G81" s="6" t="n">
        <v>34.84</v>
      </c>
      <c r="H81" s="6" t="n">
        <v>309</v>
      </c>
      <c r="I81" s="6" t="n">
        <v>226.86</v>
      </c>
      <c r="J81" s="6" t="n">
        <v>226</v>
      </c>
      <c r="K81" s="6" t="n">
        <v>1742</v>
      </c>
      <c r="L81" s="6" t="n">
        <v>1516</v>
      </c>
      <c r="M81" s="6" t="n">
        <v>13.37</v>
      </c>
      <c r="N81" s="6" t="n">
        <v>9.81</v>
      </c>
    </row>
    <row collapsed="false" customFormat="false" customHeight="false" hidden="false" ht="12.1" outlineLevel="0" r="82">
      <c r="A82" s="37" t="n">
        <v>45858</v>
      </c>
      <c r="B82" s="16" t="s">
        <v>887</v>
      </c>
      <c r="C82" s="16" t="s">
        <v>17</v>
      </c>
      <c r="D82" s="16" t="s">
        <v>19</v>
      </c>
      <c r="E82" s="7" t="n">
        <v>117</v>
      </c>
      <c r="F82" s="16" t="s">
        <v>20</v>
      </c>
      <c r="G82" s="6" t="n">
        <v>14.68</v>
      </c>
      <c r="H82" s="6" t="n">
        <v>418.25</v>
      </c>
      <c r="I82" s="6" t="n">
        <v>448.53</v>
      </c>
      <c r="J82" s="6" t="n">
        <v>223</v>
      </c>
      <c r="K82" s="6" t="n">
        <v>1717.56</v>
      </c>
      <c r="L82" s="6" t="n">
        <v>1494.56</v>
      </c>
      <c r="M82" s="6" t="n">
        <v>2.85</v>
      </c>
      <c r="N82" s="6" t="n">
        <v>3.05</v>
      </c>
    </row>
    <row collapsed="false" customFormat="false" customHeight="false" hidden="false" ht="12.1" outlineLevel="0" r="83">
      <c r="A83" s="37" t="n">
        <v>45882</v>
      </c>
      <c r="B83" s="16" t="s">
        <v>887</v>
      </c>
      <c r="C83" s="16" t="s">
        <v>88</v>
      </c>
      <c r="D83" s="16" t="s">
        <v>89</v>
      </c>
      <c r="E83" s="7" t="n">
        <v>20</v>
      </c>
      <c r="F83" s="16" t="s">
        <v>20</v>
      </c>
      <c r="G83" s="6" t="n">
        <v>2.71</v>
      </c>
      <c r="H83" s="6" t="n">
        <v>69.5</v>
      </c>
      <c r="I83" s="6" t="n">
        <v>70.18</v>
      </c>
      <c r="J83" s="6" t="n">
        <v>7</v>
      </c>
      <c r="K83" s="6" t="n">
        <v>54.2</v>
      </c>
      <c r="L83" s="6" t="n">
        <v>47.2</v>
      </c>
      <c r="M83" s="6" t="n">
        <v>3.36</v>
      </c>
      <c r="N83" s="6" t="n">
        <v>3.4</v>
      </c>
    </row>
    <row collapsed="false" customFormat="false" customHeight="false" hidden="false" ht="12.1" outlineLevel="0" r="84">
      <c r="A84" s="37" t="n">
        <v>45936</v>
      </c>
      <c r="B84" s="16" t="s">
        <v>887</v>
      </c>
      <c r="C84" s="16" t="s">
        <v>52</v>
      </c>
      <c r="D84" s="16" t="s">
        <v>53</v>
      </c>
      <c r="E84" s="7" t="n">
        <v>5</v>
      </c>
      <c r="F84" s="16" t="s">
        <v>20</v>
      </c>
      <c r="G84" s="6" t="n">
        <v>35.5</v>
      </c>
      <c r="H84" s="6" t="n">
        <v>1083.2</v>
      </c>
      <c r="I84" s="6" t="n">
        <v>1341.07</v>
      </c>
      <c r="J84" s="6" t="n">
        <v>23</v>
      </c>
      <c r="K84" s="6" t="n">
        <v>177.5</v>
      </c>
      <c r="L84" s="6" t="n">
        <v>154.5</v>
      </c>
      <c r="M84" s="6" t="n">
        <v>2.3</v>
      </c>
      <c r="N84" s="6" t="n">
        <v>2.85</v>
      </c>
    </row>
    <row collapsed="false" customFormat="false" customHeight="false" hidden="false" ht="12.1" outlineLevel="0" r="85">
      <c r="A85" s="37" t="n">
        <v>45943</v>
      </c>
      <c r="B85" s="16" t="s">
        <v>887</v>
      </c>
      <c r="C85" s="16" t="s">
        <v>49</v>
      </c>
      <c r="D85" s="16" t="s">
        <v>50</v>
      </c>
      <c r="E85" s="7" t="n">
        <v>12</v>
      </c>
      <c r="F85" s="16" t="s">
        <v>20</v>
      </c>
      <c r="G85" s="6" t="n">
        <v>17.3</v>
      </c>
      <c r="H85" s="6" t="n">
        <v>477.45</v>
      </c>
      <c r="I85" s="6" t="n">
        <v>655.45</v>
      </c>
      <c r="J85" s="6" t="n">
        <v>27</v>
      </c>
      <c r="K85" s="6" t="n">
        <v>207.6</v>
      </c>
      <c r="L85" s="6" t="n">
        <v>180.6</v>
      </c>
      <c r="M85" s="6" t="n">
        <v>2.3</v>
      </c>
      <c r="N85" s="6" t="n">
        <v>3.15</v>
      </c>
    </row>
    <row collapsed="false" customFormat="false" customHeight="false" hidden="false" ht="12.1" outlineLevel="0" r="86">
      <c r="A86" s="37" t="n">
        <v>46005</v>
      </c>
      <c r="B86" s="16" t="s">
        <v>887</v>
      </c>
      <c r="C86" s="16" t="s">
        <v>86</v>
      </c>
      <c r="D86" s="16" t="s">
        <v>87</v>
      </c>
      <c r="E86" s="7" t="n">
        <v>2</v>
      </c>
      <c r="F86" s="16" t="s">
        <v>20</v>
      </c>
      <c r="G86" s="6" t="n">
        <v>58</v>
      </c>
      <c r="H86" s="6" t="n">
        <v>605.3</v>
      </c>
      <c r="I86" s="6" t="n">
        <v>859.44</v>
      </c>
      <c r="J86" s="6" t="n">
        <v>15</v>
      </c>
      <c r="K86" s="6" t="n">
        <v>116</v>
      </c>
      <c r="L86" s="6" t="n">
        <v>101</v>
      </c>
      <c r="M86" s="6" t="n">
        <v>5.88</v>
      </c>
      <c r="N86" s="6" t="n">
        <v>8.34</v>
      </c>
    </row>
    <row collapsed="false" customFormat="false" customHeight="false" hidden="false" ht="12.1" outlineLevel="0" r="87">
      <c r="A87" s="37" t="n">
        <v>46016</v>
      </c>
      <c r="B87" s="16" t="s">
        <v>887</v>
      </c>
      <c r="C87" s="16" t="s">
        <v>98</v>
      </c>
      <c r="D87" s="16" t="s">
        <v>99</v>
      </c>
      <c r="E87" s="7" t="n">
        <v>1</v>
      </c>
      <c r="F87" s="16" t="s">
        <v>20</v>
      </c>
      <c r="G87" s="6" t="n">
        <v>902</v>
      </c>
      <c r="H87" s="6" t="n">
        <v>946.8</v>
      </c>
      <c r="I87" s="6" t="n">
        <v>1243.79</v>
      </c>
      <c r="J87" s="6" t="n">
        <v>117</v>
      </c>
      <c r="K87" s="6" t="n">
        <v>902</v>
      </c>
      <c r="L87" s="6" t="n">
        <v>785</v>
      </c>
      <c r="M87" s="6" t="n">
        <v>63.11</v>
      </c>
      <c r="N87" s="6" t="n">
        <v>82.91</v>
      </c>
    </row>
    <row collapsed="false" customFormat="false" customHeight="false" hidden="false" ht="12.1" outlineLevel="0" r="88">
      <c r="A88" s="37" t="n">
        <v>46034</v>
      </c>
      <c r="B88" s="16" t="s">
        <v>887</v>
      </c>
      <c r="C88" s="16" t="s">
        <v>17</v>
      </c>
      <c r="D88" s="16" t="s">
        <v>19</v>
      </c>
      <c r="E88" s="7" t="n">
        <v>117</v>
      </c>
      <c r="F88" s="16" t="s">
        <v>20</v>
      </c>
      <c r="G88" s="6" t="n">
        <v>11.56</v>
      </c>
      <c r="H88" s="6" t="n">
        <v>392.05</v>
      </c>
      <c r="I88" s="6" t="n">
        <v>448.53</v>
      </c>
      <c r="J88" s="6" t="n">
        <v>176</v>
      </c>
      <c r="K88" s="6" t="n">
        <v>1352.52</v>
      </c>
      <c r="L88" s="6" t="n">
        <v>1176.52</v>
      </c>
      <c r="M88" s="6" t="n">
        <v>2.24</v>
      </c>
      <c r="N88" s="6" t="n">
        <v>2.56</v>
      </c>
    </row>
    <row collapsed="false" customFormat="false" customHeight="false" hidden="false" ht="12.1" outlineLevel="0" r="89">
      <c r="A89" s="37" t="n">
        <v>46034</v>
      </c>
      <c r="B89" s="16" t="s">
        <v>887</v>
      </c>
      <c r="C89" s="16" t="s">
        <v>54</v>
      </c>
      <c r="D89" s="16" t="s">
        <v>55</v>
      </c>
      <c r="E89" s="7" t="n">
        <v>1</v>
      </c>
      <c r="F89" s="16" t="s">
        <v>20</v>
      </c>
      <c r="G89" s="6" t="n">
        <v>397</v>
      </c>
      <c r="H89" s="6" t="n">
        <v>5393</v>
      </c>
      <c r="I89" s="6" t="n">
        <v>3802.28</v>
      </c>
      <c r="J89" s="6" t="n">
        <v>52</v>
      </c>
      <c r="K89" s="6" t="n">
        <v>397</v>
      </c>
      <c r="L89" s="6" t="n">
        <v>345</v>
      </c>
      <c r="M89" s="6" t="n">
        <v>9.07</v>
      </c>
      <c r="N89" s="6" t="n">
        <v>6.4</v>
      </c>
    </row>
  </sheetData>
  <autoFilter ref="A1:N8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247</v>
      </c>
      <c r="B1" s="38" t="s">
        <v>877</v>
      </c>
      <c r="C1" s="38" t="s">
        <v>0</v>
      </c>
      <c r="D1" s="38" t="s">
        <v>2</v>
      </c>
      <c r="E1" s="38" t="s">
        <v>6</v>
      </c>
      <c r="F1" s="38" t="s">
        <v>878</v>
      </c>
      <c r="G1" s="38" t="s">
        <v>891</v>
      </c>
      <c r="H1" s="38" t="s">
        <v>882</v>
      </c>
      <c r="I1" s="38" t="s">
        <v>883</v>
      </c>
      <c r="J1" s="38" t="s">
        <v>884</v>
      </c>
    </row>
    <row collapsed="false" customFormat="false" customHeight="false" hidden="false" ht="12.1" outlineLevel="0" r="2">
      <c r="A2" s="39" t="n">
        <v>44824</v>
      </c>
      <c r="B2" s="16" t="s">
        <v>887</v>
      </c>
      <c r="C2" s="16" t="s">
        <v>595</v>
      </c>
      <c r="D2" s="16" t="s">
        <v>892</v>
      </c>
      <c r="E2" s="6" t="n">
        <v>1000</v>
      </c>
      <c r="F2" s="7" t="n">
        <v>1</v>
      </c>
      <c r="G2" s="6" t="n">
        <v>26.93</v>
      </c>
      <c r="H2" s="6" t="n">
        <v>4</v>
      </c>
      <c r="I2" s="6" t="n">
        <v>26.93</v>
      </c>
      <c r="J2" s="6" t="n">
        <v>22.93</v>
      </c>
    </row>
    <row collapsed="false" customFormat="false" customHeight="false" hidden="false" ht="12.1" outlineLevel="0" r="3">
      <c r="A3" s="39" t="n">
        <v>45088</v>
      </c>
      <c r="B3" s="16" t="s">
        <v>887</v>
      </c>
      <c r="C3" s="16" t="s">
        <v>231</v>
      </c>
      <c r="D3" s="16" t="s">
        <v>232</v>
      </c>
      <c r="E3" s="6" t="n">
        <v>1000</v>
      </c>
      <c r="F3" s="7" t="n">
        <v>1</v>
      </c>
      <c r="G3" s="6" t="n">
        <v>30.92</v>
      </c>
      <c r="H3" s="6" t="n">
        <v>4</v>
      </c>
      <c r="I3" s="6" t="n">
        <v>30.92</v>
      </c>
      <c r="J3" s="6" t="n">
        <v>26.92</v>
      </c>
    </row>
    <row collapsed="false" customFormat="false" customHeight="false" hidden="false" ht="12.1" outlineLevel="0" r="4">
      <c r="A4" s="39" t="n">
        <v>45270</v>
      </c>
      <c r="B4" s="16" t="s">
        <v>887</v>
      </c>
      <c r="C4" s="16" t="s">
        <v>231</v>
      </c>
      <c r="D4" s="16" t="s">
        <v>232</v>
      </c>
      <c r="E4" s="6" t="n">
        <v>1000</v>
      </c>
      <c r="F4" s="7" t="n">
        <v>1</v>
      </c>
      <c r="G4" s="6" t="n">
        <v>30.92</v>
      </c>
      <c r="H4" s="6" t="n">
        <v>4</v>
      </c>
      <c r="I4" s="6" t="n">
        <v>30.92</v>
      </c>
      <c r="J4" s="6" t="n">
        <v>26.92</v>
      </c>
    </row>
    <row collapsed="false" customFormat="false" customHeight="false" hidden="false" ht="12.1" outlineLevel="0" r="5">
      <c r="A5" s="39" t="n">
        <v>45289</v>
      </c>
      <c r="B5" s="16" t="s">
        <v>887</v>
      </c>
      <c r="C5" s="16" t="s">
        <v>147</v>
      </c>
      <c r="D5" s="16" t="s">
        <v>148</v>
      </c>
      <c r="E5" s="6" t="n">
        <v>1000</v>
      </c>
      <c r="F5" s="7" t="n">
        <v>3</v>
      </c>
      <c r="G5" s="6" t="n">
        <v>11.18</v>
      </c>
      <c r="H5" s="6" t="n">
        <v>4</v>
      </c>
      <c r="I5" s="6" t="n">
        <v>33.54</v>
      </c>
      <c r="J5" s="6" t="n">
        <v>29.54</v>
      </c>
    </row>
    <row collapsed="false" customFormat="false" customHeight="false" hidden="false" ht="12.1" outlineLevel="0" r="6">
      <c r="A6" s="39" t="n">
        <v>45296</v>
      </c>
      <c r="B6" s="16" t="s">
        <v>887</v>
      </c>
      <c r="C6" s="16" t="s">
        <v>177</v>
      </c>
      <c r="D6" s="16" t="s">
        <v>178</v>
      </c>
      <c r="E6" s="6" t="n">
        <v>1000</v>
      </c>
      <c r="F6" s="7" t="n">
        <v>1</v>
      </c>
      <c r="G6" s="6" t="n">
        <v>11.26</v>
      </c>
      <c r="H6" s="6" t="n">
        <v>1</v>
      </c>
      <c r="I6" s="6" t="n">
        <v>11.26</v>
      </c>
      <c r="J6" s="6" t="n">
        <v>10.26</v>
      </c>
    </row>
    <row collapsed="false" customFormat="false" customHeight="false" hidden="false" ht="12.1" outlineLevel="0" r="7">
      <c r="A7" s="39" t="n">
        <v>45299</v>
      </c>
      <c r="B7" s="16" t="s">
        <v>887</v>
      </c>
      <c r="C7" s="16" t="s">
        <v>605</v>
      </c>
      <c r="D7" s="16" t="s">
        <v>893</v>
      </c>
      <c r="E7" s="6" t="n">
        <v>1000</v>
      </c>
      <c r="F7" s="7" t="n">
        <v>2</v>
      </c>
      <c r="G7" s="6" t="n">
        <v>44.88</v>
      </c>
      <c r="H7" s="6" t="n">
        <v>12</v>
      </c>
      <c r="I7" s="6" t="n">
        <v>89.76</v>
      </c>
      <c r="J7" s="6" t="n">
        <v>77.76</v>
      </c>
    </row>
    <row collapsed="false" customFormat="false" customHeight="false" hidden="false" ht="12.1" outlineLevel="0" r="8">
      <c r="A8" s="39" t="n">
        <v>45304</v>
      </c>
      <c r="B8" s="16" t="s">
        <v>887</v>
      </c>
      <c r="C8" s="16" t="s">
        <v>602</v>
      </c>
      <c r="D8" s="16" t="s">
        <v>894</v>
      </c>
      <c r="E8" s="6" t="n">
        <v>1000</v>
      </c>
      <c r="F8" s="7" t="n">
        <v>3</v>
      </c>
      <c r="G8" s="6" t="n">
        <v>13.36</v>
      </c>
      <c r="H8" s="6" t="n">
        <v>5</v>
      </c>
      <c r="I8" s="6" t="n">
        <v>40.08</v>
      </c>
      <c r="J8" s="6" t="n">
        <v>35.08</v>
      </c>
    </row>
    <row collapsed="false" customFormat="false" customHeight="false" hidden="false" ht="12.1" outlineLevel="0" r="9">
      <c r="A9" s="39" t="n">
        <v>45315</v>
      </c>
      <c r="B9" s="16" t="s">
        <v>887</v>
      </c>
      <c r="C9" s="16" t="s">
        <v>604</v>
      </c>
      <c r="D9" s="16" t="s">
        <v>895</v>
      </c>
      <c r="E9" s="6" t="n">
        <v>1000</v>
      </c>
      <c r="F9" s="7" t="n">
        <v>2</v>
      </c>
      <c r="G9" s="6" t="n">
        <v>44.88</v>
      </c>
      <c r="H9" s="6" t="n">
        <v>12</v>
      </c>
      <c r="I9" s="6" t="n">
        <v>89.76</v>
      </c>
      <c r="J9" s="6" t="n">
        <v>77.76</v>
      </c>
    </row>
    <row collapsed="false" customFormat="false" customHeight="false" hidden="false" ht="12.1" outlineLevel="0" r="10">
      <c r="A10" s="39" t="n">
        <v>45319</v>
      </c>
      <c r="B10" s="16" t="s">
        <v>887</v>
      </c>
      <c r="C10" s="16" t="s">
        <v>147</v>
      </c>
      <c r="D10" s="16" t="s">
        <v>148</v>
      </c>
      <c r="E10" s="6" t="n">
        <v>1000</v>
      </c>
      <c r="F10" s="7" t="n">
        <v>3</v>
      </c>
      <c r="G10" s="6" t="n">
        <v>11.18</v>
      </c>
      <c r="H10" s="6" t="n">
        <v>4</v>
      </c>
      <c r="I10" s="6" t="n">
        <v>33.54</v>
      </c>
      <c r="J10" s="6" t="n">
        <v>29.54</v>
      </c>
    </row>
    <row collapsed="false" customFormat="false" customHeight="false" hidden="false" ht="12.1" outlineLevel="0" r="11">
      <c r="A11" s="39" t="n">
        <v>45326</v>
      </c>
      <c r="B11" s="16" t="s">
        <v>887</v>
      </c>
      <c r="C11" s="16" t="s">
        <v>177</v>
      </c>
      <c r="D11" s="16" t="s">
        <v>178</v>
      </c>
      <c r="E11" s="6" t="n">
        <v>1000</v>
      </c>
      <c r="F11" s="7" t="n">
        <v>1</v>
      </c>
      <c r="G11" s="6" t="n">
        <v>11.26</v>
      </c>
      <c r="H11" s="6" t="n">
        <v>1</v>
      </c>
      <c r="I11" s="6" t="n">
        <v>11.26</v>
      </c>
      <c r="J11" s="6" t="n">
        <v>10.26</v>
      </c>
    </row>
    <row collapsed="false" customFormat="false" customHeight="false" hidden="false" ht="12.1" outlineLevel="0" r="12">
      <c r="A12" s="39" t="n">
        <v>45331</v>
      </c>
      <c r="B12" s="16" t="s">
        <v>887</v>
      </c>
      <c r="C12" s="16" t="s">
        <v>240</v>
      </c>
      <c r="D12" s="16" t="s">
        <v>241</v>
      </c>
      <c r="E12" s="6" t="n">
        <v>1000</v>
      </c>
      <c r="F12" s="7" t="n">
        <v>2</v>
      </c>
      <c r="G12" s="6" t="n">
        <v>10.68</v>
      </c>
      <c r="H12" s="6" t="n">
        <v>3</v>
      </c>
      <c r="I12" s="6" t="n">
        <v>21.36</v>
      </c>
      <c r="J12" s="6" t="n">
        <v>18.36</v>
      </c>
    </row>
    <row collapsed="false" customFormat="false" customHeight="false" hidden="false" ht="12.1" outlineLevel="0" r="13">
      <c r="A13" s="39" t="n">
        <v>45334</v>
      </c>
      <c r="B13" s="16" t="s">
        <v>887</v>
      </c>
      <c r="C13" s="16" t="s">
        <v>602</v>
      </c>
      <c r="D13" s="16" t="s">
        <v>894</v>
      </c>
      <c r="E13" s="6" t="n">
        <v>1000</v>
      </c>
      <c r="F13" s="7" t="n">
        <v>3</v>
      </c>
      <c r="G13" s="6" t="n">
        <v>13.36</v>
      </c>
      <c r="H13" s="6" t="n">
        <v>5</v>
      </c>
      <c r="I13" s="6" t="n">
        <v>40.08</v>
      </c>
      <c r="J13" s="6" t="n">
        <v>35.08</v>
      </c>
    </row>
    <row collapsed="false" customFormat="false" customHeight="false" hidden="false" ht="12.1" outlineLevel="0" r="14">
      <c r="A14" s="39" t="n">
        <v>45335</v>
      </c>
      <c r="B14" s="16" t="s">
        <v>887</v>
      </c>
      <c r="C14" s="16" t="s">
        <v>213</v>
      </c>
      <c r="D14" s="16" t="s">
        <v>214</v>
      </c>
      <c r="E14" s="6" t="n">
        <v>1000</v>
      </c>
      <c r="F14" s="7" t="n">
        <v>5</v>
      </c>
      <c r="G14" s="6" t="n">
        <v>13.15</v>
      </c>
      <c r="H14" s="6" t="n">
        <v>9</v>
      </c>
      <c r="I14" s="6" t="n">
        <v>65.75</v>
      </c>
      <c r="J14" s="6" t="n">
        <v>56.75</v>
      </c>
    </row>
    <row collapsed="false" customFormat="false" customHeight="false" hidden="false" ht="12.1" outlineLevel="0" r="15">
      <c r="A15" s="39" t="n">
        <v>45336</v>
      </c>
      <c r="B15" s="16" t="s">
        <v>887</v>
      </c>
      <c r="C15" s="16" t="s">
        <v>219</v>
      </c>
      <c r="D15" s="16" t="s">
        <v>220</v>
      </c>
      <c r="E15" s="6" t="n">
        <v>1000</v>
      </c>
      <c r="F15" s="7" t="n">
        <v>5</v>
      </c>
      <c r="G15" s="6" t="n">
        <v>39.89</v>
      </c>
      <c r="H15" s="6" t="n">
        <v>26</v>
      </c>
      <c r="I15" s="6" t="n">
        <v>199.45</v>
      </c>
      <c r="J15" s="6" t="n">
        <v>173.45</v>
      </c>
    </row>
    <row collapsed="false" customFormat="false" customHeight="false" hidden="false" ht="12.1" outlineLevel="0" r="16">
      <c r="A16" s="39" t="n">
        <v>45337</v>
      </c>
      <c r="B16" s="16" t="s">
        <v>887</v>
      </c>
      <c r="C16" s="16" t="s">
        <v>222</v>
      </c>
      <c r="D16" s="16" t="s">
        <v>223</v>
      </c>
      <c r="E16" s="6" t="n">
        <v>1000</v>
      </c>
      <c r="F16" s="7" t="n">
        <v>2</v>
      </c>
      <c r="G16" s="6" t="n">
        <v>66.32</v>
      </c>
      <c r="H16" s="6" t="n">
        <v>17</v>
      </c>
      <c r="I16" s="6" t="n">
        <v>132.64</v>
      </c>
      <c r="J16" s="6" t="n">
        <v>115.64</v>
      </c>
    </row>
    <row collapsed="false" customFormat="false" customHeight="false" hidden="false" ht="12.1" outlineLevel="0" r="17">
      <c r="A17" s="39" t="n">
        <v>45341</v>
      </c>
      <c r="B17" s="16" t="s">
        <v>887</v>
      </c>
      <c r="C17" s="16" t="s">
        <v>608</v>
      </c>
      <c r="D17" s="16" t="s">
        <v>896</v>
      </c>
      <c r="E17" s="6" t="n">
        <v>1000</v>
      </c>
      <c r="F17" s="7" t="n">
        <v>2</v>
      </c>
      <c r="G17" s="6" t="n">
        <v>47.37</v>
      </c>
      <c r="H17" s="6" t="n">
        <v>12</v>
      </c>
      <c r="I17" s="6" t="n">
        <v>94.74</v>
      </c>
      <c r="J17" s="6" t="n">
        <v>82.74</v>
      </c>
    </row>
    <row collapsed="false" customFormat="false" customHeight="false" hidden="false" ht="12.1" outlineLevel="0" r="18">
      <c r="A18" s="39" t="n">
        <v>45342</v>
      </c>
      <c r="B18" s="16" t="s">
        <v>887</v>
      </c>
      <c r="C18" s="16" t="s">
        <v>192</v>
      </c>
      <c r="D18" s="16" t="s">
        <v>193</v>
      </c>
      <c r="E18" s="6" t="n">
        <v>1000</v>
      </c>
      <c r="F18" s="7" t="n">
        <v>4</v>
      </c>
      <c r="G18" s="6" t="n">
        <v>34.16</v>
      </c>
      <c r="H18" s="6" t="n">
        <v>18</v>
      </c>
      <c r="I18" s="6" t="n">
        <v>136.64</v>
      </c>
      <c r="J18" s="6" t="n">
        <v>118.64</v>
      </c>
    </row>
    <row collapsed="false" customFormat="false" customHeight="false" hidden="false" ht="12.1" outlineLevel="0" r="19">
      <c r="A19" s="39" t="n">
        <v>45347</v>
      </c>
      <c r="B19" s="16" t="s">
        <v>887</v>
      </c>
      <c r="C19" s="16" t="s">
        <v>198</v>
      </c>
      <c r="D19" s="16" t="s">
        <v>199</v>
      </c>
      <c r="E19" s="6" t="n">
        <v>1000</v>
      </c>
      <c r="F19" s="7" t="n">
        <v>5</v>
      </c>
      <c r="G19" s="6" t="n">
        <v>18.32</v>
      </c>
      <c r="H19" s="6" t="n">
        <v>12</v>
      </c>
      <c r="I19" s="6" t="n">
        <v>91.6</v>
      </c>
      <c r="J19" s="6" t="n">
        <v>79.6</v>
      </c>
    </row>
    <row collapsed="false" customFormat="false" customHeight="false" hidden="false" ht="12.1" outlineLevel="0" r="20">
      <c r="A20" s="39" t="n">
        <v>45349</v>
      </c>
      <c r="B20" s="16" t="s">
        <v>887</v>
      </c>
      <c r="C20" s="16" t="s">
        <v>147</v>
      </c>
      <c r="D20" s="16" t="s">
        <v>148</v>
      </c>
      <c r="E20" s="6" t="n">
        <v>1000</v>
      </c>
      <c r="F20" s="7" t="n">
        <v>3</v>
      </c>
      <c r="G20" s="6" t="n">
        <v>11.18</v>
      </c>
      <c r="H20" s="6" t="n">
        <v>4</v>
      </c>
      <c r="I20" s="6" t="n">
        <v>33.54</v>
      </c>
      <c r="J20" s="6" t="n">
        <v>29.54</v>
      </c>
    </row>
    <row collapsed="false" customFormat="false" customHeight="false" hidden="false" ht="12.1" outlineLevel="0" r="21">
      <c r="A21" s="39" t="n">
        <v>45351</v>
      </c>
      <c r="B21" s="16" t="s">
        <v>887</v>
      </c>
      <c r="C21" s="16" t="s">
        <v>216</v>
      </c>
      <c r="D21" s="16" t="s">
        <v>217</v>
      </c>
      <c r="E21" s="6" t="n">
        <v>1000</v>
      </c>
      <c r="F21" s="7" t="n">
        <v>3</v>
      </c>
      <c r="G21" s="6" t="n">
        <v>24.81</v>
      </c>
      <c r="H21" s="6" t="n">
        <v>10</v>
      </c>
      <c r="I21" s="6" t="n">
        <v>74.43</v>
      </c>
      <c r="J21" s="6" t="n">
        <v>64.43</v>
      </c>
    </row>
    <row collapsed="false" customFormat="false" customHeight="false" hidden="false" ht="12.1" outlineLevel="0" r="22">
      <c r="A22" s="39" t="n">
        <v>45351</v>
      </c>
      <c r="B22" s="16" t="s">
        <v>887</v>
      </c>
      <c r="C22" s="16" t="s">
        <v>228</v>
      </c>
      <c r="D22" s="16" t="s">
        <v>229</v>
      </c>
      <c r="E22" s="6" t="n">
        <v>1000</v>
      </c>
      <c r="F22" s="7" t="n">
        <v>7</v>
      </c>
      <c r="G22" s="6" t="n">
        <v>6.36</v>
      </c>
      <c r="H22" s="6" t="n">
        <v>6</v>
      </c>
      <c r="I22" s="6" t="n">
        <v>44.52</v>
      </c>
      <c r="J22" s="6" t="n">
        <v>38.52</v>
      </c>
    </row>
    <row collapsed="false" customFormat="false" customHeight="false" hidden="false" ht="12.1" outlineLevel="0" r="23">
      <c r="A23" s="39" t="n">
        <v>45356</v>
      </c>
      <c r="B23" s="16" t="s">
        <v>887</v>
      </c>
      <c r="C23" s="16" t="s">
        <v>177</v>
      </c>
      <c r="D23" s="16" t="s">
        <v>178</v>
      </c>
      <c r="E23" s="6" t="n">
        <v>1000</v>
      </c>
      <c r="F23" s="7" t="n">
        <v>1</v>
      </c>
      <c r="G23" s="6" t="n">
        <v>11.26</v>
      </c>
      <c r="H23" s="6" t="n">
        <v>1</v>
      </c>
      <c r="I23" s="6" t="n">
        <v>11.26</v>
      </c>
      <c r="J23" s="6" t="n">
        <v>10.26</v>
      </c>
    </row>
    <row collapsed="false" customFormat="false" customHeight="false" hidden="false" ht="12.1" outlineLevel="0" r="24">
      <c r="A24" s="39" t="n">
        <v>45356</v>
      </c>
      <c r="B24" s="16" t="s">
        <v>887</v>
      </c>
      <c r="C24" s="16" t="s">
        <v>207</v>
      </c>
      <c r="D24" s="16" t="s">
        <v>208</v>
      </c>
      <c r="E24" s="6" t="n">
        <v>1000</v>
      </c>
      <c r="F24" s="7" t="n">
        <v>5</v>
      </c>
      <c r="G24" s="6" t="n">
        <v>46.12</v>
      </c>
      <c r="H24" s="6" t="n">
        <v>30</v>
      </c>
      <c r="I24" s="6" t="n">
        <v>230.6</v>
      </c>
      <c r="J24" s="6" t="n">
        <v>200.6</v>
      </c>
    </row>
    <row collapsed="false" customFormat="false" customHeight="false" hidden="false" ht="12.1" outlineLevel="0" r="25">
      <c r="A25" s="39" t="n">
        <v>45361</v>
      </c>
      <c r="B25" s="16" t="s">
        <v>887</v>
      </c>
      <c r="C25" s="16" t="s">
        <v>240</v>
      </c>
      <c r="D25" s="16" t="s">
        <v>241</v>
      </c>
      <c r="E25" s="6" t="n">
        <v>1000</v>
      </c>
      <c r="F25" s="7" t="n">
        <v>2</v>
      </c>
      <c r="G25" s="6" t="n">
        <v>10.68</v>
      </c>
      <c r="H25" s="6" t="n">
        <v>3</v>
      </c>
      <c r="I25" s="6" t="n">
        <v>21.36</v>
      </c>
      <c r="J25" s="6" t="n">
        <v>18.36</v>
      </c>
    </row>
    <row collapsed="false" customFormat="false" customHeight="false" hidden="false" ht="12.1" outlineLevel="0" r="26">
      <c r="A26" s="39" t="n">
        <v>45363</v>
      </c>
      <c r="B26" s="16" t="s">
        <v>887</v>
      </c>
      <c r="C26" s="16" t="s">
        <v>606</v>
      </c>
      <c r="D26" s="16" t="s">
        <v>897</v>
      </c>
      <c r="E26" s="6" t="n">
        <v>1000</v>
      </c>
      <c r="F26" s="7" t="n">
        <v>3</v>
      </c>
      <c r="G26" s="6" t="n">
        <v>39.36</v>
      </c>
      <c r="H26" s="6" t="n">
        <v>15</v>
      </c>
      <c r="I26" s="6" t="n">
        <v>118.08</v>
      </c>
      <c r="J26" s="6" t="n">
        <v>103.08</v>
      </c>
    </row>
    <row collapsed="false" customFormat="false" customHeight="false" hidden="false" ht="12.1" outlineLevel="0" r="27">
      <c r="A27" s="39" t="n">
        <v>45363</v>
      </c>
      <c r="B27" s="16" t="s">
        <v>887</v>
      </c>
      <c r="C27" s="16" t="s">
        <v>234</v>
      </c>
      <c r="D27" s="16" t="s">
        <v>235</v>
      </c>
      <c r="E27" s="6" t="n">
        <v>686.6700000000001</v>
      </c>
      <c r="F27" s="7" t="n">
        <v>1</v>
      </c>
      <c r="G27" s="6" t="n">
        <v>28.25</v>
      </c>
      <c r="H27" s="6" t="n">
        <v>4</v>
      </c>
      <c r="I27" s="6" t="n">
        <v>28.25</v>
      </c>
      <c r="J27" s="6" t="n">
        <v>24.25</v>
      </c>
    </row>
    <row collapsed="false" customFormat="false" customHeight="false" hidden="false" ht="12.1" outlineLevel="0" r="28">
      <c r="A28" s="39" t="n">
        <v>45364</v>
      </c>
      <c r="B28" s="16" t="s">
        <v>887</v>
      </c>
      <c r="C28" s="16" t="s">
        <v>602</v>
      </c>
      <c r="D28" s="16" t="s">
        <v>894</v>
      </c>
      <c r="E28" s="6" t="n">
        <v>1000</v>
      </c>
      <c r="F28" s="7" t="n">
        <v>3</v>
      </c>
      <c r="G28" s="6" t="n">
        <v>13.36</v>
      </c>
      <c r="H28" s="6" t="n">
        <v>5</v>
      </c>
      <c r="I28" s="6" t="n">
        <v>40.08</v>
      </c>
      <c r="J28" s="6" t="n">
        <v>35.08</v>
      </c>
    </row>
    <row collapsed="false" customFormat="false" customHeight="false" hidden="false" ht="12.1" outlineLevel="0" r="29">
      <c r="A29" s="39" t="n">
        <v>45365</v>
      </c>
      <c r="B29" s="16" t="s">
        <v>887</v>
      </c>
      <c r="C29" s="16" t="s">
        <v>213</v>
      </c>
      <c r="D29" s="16" t="s">
        <v>214</v>
      </c>
      <c r="E29" s="6" t="n">
        <v>1000</v>
      </c>
      <c r="F29" s="7" t="n">
        <v>5</v>
      </c>
      <c r="G29" s="6" t="n">
        <v>13.15</v>
      </c>
      <c r="H29" s="6" t="n">
        <v>9</v>
      </c>
      <c r="I29" s="6" t="n">
        <v>65.75</v>
      </c>
      <c r="J29" s="6" t="n">
        <v>56.75</v>
      </c>
    </row>
    <row collapsed="false" customFormat="false" customHeight="false" hidden="false" ht="12.1" outlineLevel="0" r="30">
      <c r="A30" s="39" t="n">
        <v>45370</v>
      </c>
      <c r="B30" s="16" t="s">
        <v>887</v>
      </c>
      <c r="C30" s="16" t="s">
        <v>156</v>
      </c>
      <c r="D30" s="16" t="s">
        <v>157</v>
      </c>
      <c r="E30" s="6" t="n">
        <v>1000</v>
      </c>
      <c r="F30" s="7" t="n">
        <v>15</v>
      </c>
      <c r="G30" s="6" t="n">
        <v>33.41</v>
      </c>
      <c r="H30" s="6" t="n">
        <v>65</v>
      </c>
      <c r="I30" s="6" t="n">
        <v>501.15</v>
      </c>
      <c r="J30" s="6" t="n">
        <v>436.15</v>
      </c>
    </row>
    <row collapsed="false" customFormat="false" customHeight="false" hidden="false" ht="12.1" outlineLevel="0" r="31">
      <c r="A31" s="39" t="n">
        <v>45370</v>
      </c>
      <c r="B31" s="16" t="s">
        <v>887</v>
      </c>
      <c r="C31" s="16" t="s">
        <v>174</v>
      </c>
      <c r="D31" s="16" t="s">
        <v>175</v>
      </c>
      <c r="E31" s="6" t="n">
        <v>1000</v>
      </c>
      <c r="F31" s="7" t="n">
        <v>15</v>
      </c>
      <c r="G31" s="6" t="n">
        <v>38.64</v>
      </c>
      <c r="H31" s="6" t="n">
        <v>75</v>
      </c>
      <c r="I31" s="6" t="n">
        <v>579.6</v>
      </c>
      <c r="J31" s="6" t="n">
        <v>504.6</v>
      </c>
    </row>
    <row collapsed="false" customFormat="false" customHeight="false" hidden="false" ht="12.1" outlineLevel="0" r="32">
      <c r="A32" s="39" t="n">
        <v>45376</v>
      </c>
      <c r="B32" s="16" t="s">
        <v>887</v>
      </c>
      <c r="C32" s="16" t="s">
        <v>603</v>
      </c>
      <c r="D32" s="16" t="s">
        <v>898</v>
      </c>
      <c r="E32" s="6" t="n">
        <v>1000</v>
      </c>
      <c r="F32" s="7" t="n">
        <v>2</v>
      </c>
      <c r="G32" s="6" t="n">
        <v>31.66</v>
      </c>
      <c r="H32" s="6" t="n">
        <v>8</v>
      </c>
      <c r="I32" s="6" t="n">
        <v>63.32</v>
      </c>
      <c r="J32" s="6" t="n">
        <v>55.32</v>
      </c>
    </row>
    <row collapsed="false" customFormat="false" customHeight="false" hidden="false" ht="12.1" outlineLevel="0" r="33">
      <c r="A33" s="39" t="n">
        <v>45377</v>
      </c>
      <c r="B33" s="16" t="s">
        <v>887</v>
      </c>
      <c r="C33" s="16" t="s">
        <v>607</v>
      </c>
      <c r="D33" s="16" t="s">
        <v>899</v>
      </c>
      <c r="E33" s="6" t="n">
        <v>1000</v>
      </c>
      <c r="F33" s="7" t="n">
        <v>2</v>
      </c>
      <c r="G33" s="6" t="n">
        <v>54.35</v>
      </c>
      <c r="H33" s="6" t="n">
        <v>14</v>
      </c>
      <c r="I33" s="6" t="n">
        <v>108.7</v>
      </c>
      <c r="J33" s="6" t="n">
        <v>94.7</v>
      </c>
    </row>
    <row collapsed="false" customFormat="false" customHeight="false" hidden="false" ht="12.1" outlineLevel="0" r="34">
      <c r="A34" s="39" t="n">
        <v>45377</v>
      </c>
      <c r="B34" s="16" t="s">
        <v>887</v>
      </c>
      <c r="C34" s="16" t="s">
        <v>144</v>
      </c>
      <c r="D34" s="16" t="s">
        <v>145</v>
      </c>
      <c r="E34" s="6" t="n">
        <v>1000</v>
      </c>
      <c r="F34" s="7" t="n">
        <v>10</v>
      </c>
      <c r="G34" s="6" t="n">
        <v>47.47</v>
      </c>
      <c r="H34" s="6" t="n">
        <v>62</v>
      </c>
      <c r="I34" s="6" t="n">
        <v>474.7</v>
      </c>
      <c r="J34" s="6" t="n">
        <v>412.7</v>
      </c>
    </row>
    <row collapsed="false" customFormat="false" customHeight="false" hidden="false" ht="12.1" outlineLevel="0" r="35">
      <c r="A35" s="39" t="n">
        <v>45379</v>
      </c>
      <c r="B35" s="16" t="s">
        <v>887</v>
      </c>
      <c r="C35" s="16" t="s">
        <v>147</v>
      </c>
      <c r="D35" s="16" t="s">
        <v>148</v>
      </c>
      <c r="E35" s="6" t="n">
        <v>1000</v>
      </c>
      <c r="F35" s="7" t="n">
        <v>3</v>
      </c>
      <c r="G35" s="6" t="n">
        <v>11.18</v>
      </c>
      <c r="H35" s="6" t="n">
        <v>4</v>
      </c>
      <c r="I35" s="6" t="n">
        <v>33.54</v>
      </c>
      <c r="J35" s="6" t="n">
        <v>29.54</v>
      </c>
    </row>
    <row collapsed="false" customFormat="false" customHeight="false" hidden="false" ht="12.1" outlineLevel="0" r="36">
      <c r="A36" s="39" t="n">
        <v>45382</v>
      </c>
      <c r="B36" s="16" t="s">
        <v>887</v>
      </c>
      <c r="C36" s="16" t="s">
        <v>228</v>
      </c>
      <c r="D36" s="16" t="s">
        <v>229</v>
      </c>
      <c r="E36" s="6" t="n">
        <v>1000</v>
      </c>
      <c r="F36" s="7" t="n">
        <v>7</v>
      </c>
      <c r="G36" s="6" t="n">
        <v>6.79</v>
      </c>
      <c r="H36" s="6" t="n">
        <v>6</v>
      </c>
      <c r="I36" s="6" t="n">
        <v>47.53</v>
      </c>
      <c r="J36" s="6" t="n">
        <v>41.53</v>
      </c>
    </row>
    <row collapsed="false" customFormat="false" customHeight="false" hidden="false" ht="12.1" outlineLevel="0" r="37">
      <c r="A37" s="39" t="n">
        <v>45384</v>
      </c>
      <c r="B37" s="16" t="s">
        <v>887</v>
      </c>
      <c r="C37" s="16" t="s">
        <v>150</v>
      </c>
      <c r="D37" s="16" t="s">
        <v>151</v>
      </c>
      <c r="E37" s="6" t="n">
        <v>1000</v>
      </c>
      <c r="F37" s="7" t="n">
        <v>10</v>
      </c>
      <c r="G37" s="6" t="n">
        <v>38.39</v>
      </c>
      <c r="H37" s="6" t="n">
        <v>50</v>
      </c>
      <c r="I37" s="6" t="n">
        <v>383.9</v>
      </c>
      <c r="J37" s="6" t="n">
        <v>333.9</v>
      </c>
    </row>
    <row collapsed="false" customFormat="false" customHeight="false" hidden="false" ht="12.1" outlineLevel="0" r="38">
      <c r="A38" s="39" t="n">
        <v>45385</v>
      </c>
      <c r="B38" s="16" t="s">
        <v>887</v>
      </c>
      <c r="C38" s="16" t="s">
        <v>210</v>
      </c>
      <c r="D38" s="16" t="s">
        <v>211</v>
      </c>
      <c r="E38" s="6" t="n">
        <v>1000</v>
      </c>
      <c r="F38" s="7" t="n">
        <v>4</v>
      </c>
      <c r="G38" s="6" t="n">
        <v>29.42</v>
      </c>
      <c r="H38" s="6" t="n">
        <v>15</v>
      </c>
      <c r="I38" s="6" t="n">
        <v>117.68</v>
      </c>
      <c r="J38" s="6" t="n">
        <v>102.68</v>
      </c>
    </row>
    <row collapsed="false" customFormat="false" customHeight="false" hidden="false" ht="12.1" outlineLevel="0" r="39">
      <c r="A39" s="39" t="n">
        <v>45386</v>
      </c>
      <c r="B39" s="16" t="s">
        <v>887</v>
      </c>
      <c r="C39" s="16" t="s">
        <v>177</v>
      </c>
      <c r="D39" s="16" t="s">
        <v>178</v>
      </c>
      <c r="E39" s="6" t="n">
        <v>1000</v>
      </c>
      <c r="F39" s="7" t="n">
        <v>1</v>
      </c>
      <c r="G39" s="6" t="n">
        <v>11.26</v>
      </c>
      <c r="H39" s="6" t="n">
        <v>1</v>
      </c>
      <c r="I39" s="6" t="n">
        <v>11.26</v>
      </c>
      <c r="J39" s="6" t="n">
        <v>10.26</v>
      </c>
    </row>
    <row collapsed="false" customFormat="false" customHeight="false" hidden="false" ht="12.1" outlineLevel="0" r="40">
      <c r="A40" s="39" t="n">
        <v>45390</v>
      </c>
      <c r="B40" s="16" t="s">
        <v>887</v>
      </c>
      <c r="C40" s="16" t="s">
        <v>605</v>
      </c>
      <c r="D40" s="16" t="s">
        <v>893</v>
      </c>
      <c r="E40" s="6" t="n">
        <v>1000</v>
      </c>
      <c r="F40" s="7" t="n">
        <v>2</v>
      </c>
      <c r="G40" s="6" t="n">
        <v>44.88</v>
      </c>
      <c r="H40" s="6" t="n">
        <v>12</v>
      </c>
      <c r="I40" s="6" t="n">
        <v>89.76</v>
      </c>
      <c r="J40" s="6" t="n">
        <v>77.76</v>
      </c>
    </row>
    <row collapsed="false" customFormat="false" customHeight="false" hidden="false" ht="12.1" outlineLevel="0" r="41">
      <c r="A41" s="39" t="n">
        <v>45391</v>
      </c>
      <c r="B41" s="16" t="s">
        <v>887</v>
      </c>
      <c r="C41" s="16" t="s">
        <v>240</v>
      </c>
      <c r="D41" s="16" t="s">
        <v>241</v>
      </c>
      <c r="E41" s="6" t="n">
        <v>1000</v>
      </c>
      <c r="F41" s="7" t="n">
        <v>2</v>
      </c>
      <c r="G41" s="6" t="n">
        <v>10.68</v>
      </c>
      <c r="H41" s="6" t="n">
        <v>3</v>
      </c>
      <c r="I41" s="6" t="n">
        <v>21.36</v>
      </c>
      <c r="J41" s="6" t="n">
        <v>18.36</v>
      </c>
    </row>
    <row collapsed="false" customFormat="false" customHeight="false" hidden="false" ht="12.1" outlineLevel="0" r="42">
      <c r="A42" s="39" t="n">
        <v>45394</v>
      </c>
      <c r="B42" s="16" t="s">
        <v>887</v>
      </c>
      <c r="C42" s="16" t="s">
        <v>602</v>
      </c>
      <c r="D42" s="16" t="s">
        <v>894</v>
      </c>
      <c r="E42" s="6" t="n">
        <v>1000</v>
      </c>
      <c r="F42" s="7" t="n">
        <v>3</v>
      </c>
      <c r="G42" s="6" t="n">
        <v>13.36</v>
      </c>
      <c r="H42" s="6" t="n">
        <v>5</v>
      </c>
      <c r="I42" s="6" t="n">
        <v>40.08</v>
      </c>
      <c r="J42" s="6" t="n">
        <v>35.08</v>
      </c>
    </row>
    <row collapsed="false" customFormat="false" customHeight="false" hidden="false" ht="12.1" outlineLevel="0" r="43">
      <c r="A43" s="39" t="n">
        <v>45395</v>
      </c>
      <c r="B43" s="16" t="s">
        <v>887</v>
      </c>
      <c r="C43" s="16" t="s">
        <v>213</v>
      </c>
      <c r="D43" s="16" t="s">
        <v>214</v>
      </c>
      <c r="E43" s="6" t="n">
        <v>1000</v>
      </c>
      <c r="F43" s="7" t="n">
        <v>10</v>
      </c>
      <c r="G43" s="6" t="n">
        <v>13.15</v>
      </c>
      <c r="H43" s="6" t="n">
        <v>17</v>
      </c>
      <c r="I43" s="6" t="n">
        <v>131.5</v>
      </c>
      <c r="J43" s="6" t="n">
        <v>114.5</v>
      </c>
    </row>
    <row collapsed="false" customFormat="false" customHeight="false" hidden="false" ht="12.1" outlineLevel="0" r="44">
      <c r="A44" s="39" t="n">
        <v>45406</v>
      </c>
      <c r="B44" s="16" t="s">
        <v>887</v>
      </c>
      <c r="C44" s="16" t="s">
        <v>604</v>
      </c>
      <c r="D44" s="16" t="s">
        <v>895</v>
      </c>
      <c r="E44" s="6" t="n">
        <v>1000</v>
      </c>
      <c r="F44" s="7" t="n">
        <v>2</v>
      </c>
      <c r="G44" s="6" t="n">
        <v>44.88</v>
      </c>
      <c r="H44" s="6" t="n">
        <v>12</v>
      </c>
      <c r="I44" s="6" t="n">
        <v>89.76</v>
      </c>
      <c r="J44" s="6" t="n">
        <v>77.76</v>
      </c>
    </row>
    <row collapsed="false" customFormat="false" customHeight="false" hidden="false" ht="12.1" outlineLevel="0" r="45">
      <c r="A45" s="39" t="n">
        <v>45406</v>
      </c>
      <c r="B45" s="16" t="s">
        <v>887</v>
      </c>
      <c r="C45" s="16" t="s">
        <v>180</v>
      </c>
      <c r="D45" s="16" t="s">
        <v>181</v>
      </c>
      <c r="E45" s="6" t="n">
        <v>1000</v>
      </c>
      <c r="F45" s="7" t="n">
        <v>7</v>
      </c>
      <c r="G45" s="6" t="n">
        <v>16.83</v>
      </c>
      <c r="H45" s="6" t="n">
        <v>15</v>
      </c>
      <c r="I45" s="6" t="n">
        <v>117.81</v>
      </c>
      <c r="J45" s="6" t="n">
        <v>102.81</v>
      </c>
    </row>
    <row collapsed="false" customFormat="false" customHeight="false" hidden="false" ht="12.1" outlineLevel="0" r="46">
      <c r="A46" s="39" t="n">
        <v>45409</v>
      </c>
      <c r="B46" s="16" t="s">
        <v>887</v>
      </c>
      <c r="C46" s="16" t="s">
        <v>147</v>
      </c>
      <c r="D46" s="16" t="s">
        <v>148</v>
      </c>
      <c r="E46" s="6" t="n">
        <v>1000</v>
      </c>
      <c r="F46" s="7" t="n">
        <v>3</v>
      </c>
      <c r="G46" s="6" t="n">
        <v>11.18</v>
      </c>
      <c r="H46" s="6" t="n">
        <v>4</v>
      </c>
      <c r="I46" s="6" t="n">
        <v>33.54</v>
      </c>
      <c r="J46" s="6" t="n">
        <v>29.54</v>
      </c>
    </row>
    <row collapsed="false" customFormat="false" customHeight="false" hidden="false" ht="12.1" outlineLevel="0" r="47">
      <c r="A47" s="39" t="n">
        <v>45412</v>
      </c>
      <c r="B47" s="16" t="s">
        <v>887</v>
      </c>
      <c r="C47" s="16" t="s">
        <v>228</v>
      </c>
      <c r="D47" s="16" t="s">
        <v>229</v>
      </c>
      <c r="E47" s="6" t="n">
        <v>1000</v>
      </c>
      <c r="F47" s="7" t="n">
        <v>7</v>
      </c>
      <c r="G47" s="6" t="n">
        <v>6.58</v>
      </c>
      <c r="H47" s="6" t="n">
        <v>6</v>
      </c>
      <c r="I47" s="6" t="n">
        <v>46.06</v>
      </c>
      <c r="J47" s="6" t="n">
        <v>40.06</v>
      </c>
    </row>
    <row collapsed="false" customFormat="false" customHeight="false" hidden="false" ht="12.1" outlineLevel="0" r="48">
      <c r="A48" s="39" t="n">
        <v>45416</v>
      </c>
      <c r="B48" s="16" t="s">
        <v>887</v>
      </c>
      <c r="C48" s="16" t="s">
        <v>177</v>
      </c>
      <c r="D48" s="16" t="s">
        <v>178</v>
      </c>
      <c r="E48" s="6" t="n">
        <v>1000</v>
      </c>
      <c r="F48" s="7" t="n">
        <v>1</v>
      </c>
      <c r="G48" s="6" t="n">
        <v>11.26</v>
      </c>
      <c r="H48" s="6" t="n">
        <v>1</v>
      </c>
      <c r="I48" s="6" t="n">
        <v>11.26</v>
      </c>
      <c r="J48" s="6" t="n">
        <v>10.26</v>
      </c>
    </row>
    <row collapsed="false" customFormat="false" customHeight="false" hidden="false" ht="12.1" outlineLevel="0" r="49">
      <c r="A49" s="39" t="n">
        <v>45421</v>
      </c>
      <c r="B49" s="16" t="s">
        <v>887</v>
      </c>
      <c r="C49" s="16" t="s">
        <v>240</v>
      </c>
      <c r="D49" s="16" t="s">
        <v>241</v>
      </c>
      <c r="E49" s="6" t="n">
        <v>1000</v>
      </c>
      <c r="F49" s="7" t="n">
        <v>2</v>
      </c>
      <c r="G49" s="6" t="n">
        <v>10.68</v>
      </c>
      <c r="H49" s="6" t="n">
        <v>3</v>
      </c>
      <c r="I49" s="6" t="n">
        <v>21.36</v>
      </c>
      <c r="J49" s="6" t="n">
        <v>18.36</v>
      </c>
    </row>
    <row collapsed="false" customFormat="false" customHeight="false" hidden="false" ht="12.1" outlineLevel="0" r="50">
      <c r="A50" s="39" t="n">
        <v>45424</v>
      </c>
      <c r="B50" s="16" t="s">
        <v>887</v>
      </c>
      <c r="C50" s="16" t="s">
        <v>602</v>
      </c>
      <c r="D50" s="16" t="s">
        <v>894</v>
      </c>
      <c r="E50" s="6" t="n">
        <v>1000</v>
      </c>
      <c r="F50" s="7" t="n">
        <v>3</v>
      </c>
      <c r="G50" s="6" t="n">
        <v>13.36</v>
      </c>
      <c r="H50" s="6" t="n">
        <v>5</v>
      </c>
      <c r="I50" s="6" t="n">
        <v>40.08</v>
      </c>
      <c r="J50" s="6" t="n">
        <v>35.08</v>
      </c>
    </row>
    <row collapsed="false" customFormat="false" customHeight="false" hidden="false" ht="12.1" outlineLevel="0" r="51">
      <c r="A51" s="39" t="n">
        <v>45425</v>
      </c>
      <c r="B51" s="16" t="s">
        <v>887</v>
      </c>
      <c r="C51" s="16" t="s">
        <v>213</v>
      </c>
      <c r="D51" s="16" t="s">
        <v>214</v>
      </c>
      <c r="E51" s="6" t="n">
        <v>1000</v>
      </c>
      <c r="F51" s="7" t="n">
        <v>10</v>
      </c>
      <c r="G51" s="6" t="n">
        <v>13.15</v>
      </c>
      <c r="H51" s="6" t="n">
        <v>17</v>
      </c>
      <c r="I51" s="6" t="n">
        <v>131.5</v>
      </c>
      <c r="J51" s="6" t="n">
        <v>114.5</v>
      </c>
    </row>
    <row collapsed="false" customFormat="false" customHeight="false" hidden="false" ht="12.1" outlineLevel="0" r="52">
      <c r="A52" s="39" t="n">
        <v>45426</v>
      </c>
      <c r="B52" s="16" t="s">
        <v>887</v>
      </c>
      <c r="C52" s="16" t="s">
        <v>609</v>
      </c>
      <c r="D52" s="16" t="s">
        <v>900</v>
      </c>
      <c r="E52" s="6" t="n">
        <v>1000</v>
      </c>
      <c r="F52" s="7" t="n">
        <v>10</v>
      </c>
      <c r="G52" s="6" t="n">
        <v>35.65</v>
      </c>
      <c r="H52" s="6" t="n">
        <v>46</v>
      </c>
      <c r="I52" s="6" t="n">
        <v>356.5</v>
      </c>
      <c r="J52" s="6" t="n">
        <v>310.5</v>
      </c>
    </row>
    <row collapsed="false" customFormat="false" customHeight="false" hidden="false" ht="12.1" outlineLevel="0" r="53">
      <c r="A53" s="39" t="n">
        <v>45427</v>
      </c>
      <c r="B53" s="16" t="s">
        <v>887</v>
      </c>
      <c r="C53" s="16" t="s">
        <v>219</v>
      </c>
      <c r="D53" s="16" t="s">
        <v>220</v>
      </c>
      <c r="E53" s="6" t="n">
        <v>1000</v>
      </c>
      <c r="F53" s="7" t="n">
        <v>5</v>
      </c>
      <c r="G53" s="6" t="n">
        <v>39.89</v>
      </c>
      <c r="H53" s="6" t="n">
        <v>26</v>
      </c>
      <c r="I53" s="6" t="n">
        <v>199.45</v>
      </c>
      <c r="J53" s="6" t="n">
        <v>173.45</v>
      </c>
    </row>
    <row collapsed="false" customFormat="false" customHeight="false" hidden="false" ht="12.1" outlineLevel="0" r="54">
      <c r="A54" s="39" t="n">
        <v>45432</v>
      </c>
      <c r="B54" s="16" t="s">
        <v>887</v>
      </c>
      <c r="C54" s="16" t="s">
        <v>608</v>
      </c>
      <c r="D54" s="16" t="s">
        <v>896</v>
      </c>
      <c r="E54" s="6" t="n">
        <v>1000</v>
      </c>
      <c r="F54" s="7" t="n">
        <v>2</v>
      </c>
      <c r="G54" s="6" t="n">
        <v>47.37</v>
      </c>
      <c r="H54" s="6" t="n">
        <v>12</v>
      </c>
      <c r="I54" s="6" t="n">
        <v>94.74</v>
      </c>
      <c r="J54" s="6" t="n">
        <v>82.74</v>
      </c>
    </row>
    <row collapsed="false" customFormat="false" customHeight="false" hidden="false" ht="12.1" outlineLevel="0" r="55">
      <c r="A55" s="39" t="n">
        <v>45432</v>
      </c>
      <c r="B55" s="16" t="s">
        <v>887</v>
      </c>
      <c r="C55" s="16" t="s">
        <v>225</v>
      </c>
      <c r="D55" s="16" t="s">
        <v>226</v>
      </c>
      <c r="E55" s="6" t="n">
        <v>1000</v>
      </c>
      <c r="F55" s="7" t="n">
        <v>2</v>
      </c>
      <c r="G55" s="6" t="n">
        <v>63.14</v>
      </c>
      <c r="H55" s="6" t="n">
        <v>16</v>
      </c>
      <c r="I55" s="6" t="n">
        <v>126.28</v>
      </c>
      <c r="J55" s="6" t="n">
        <v>110.28</v>
      </c>
    </row>
    <row collapsed="false" customFormat="false" customHeight="false" hidden="false" ht="12.1" outlineLevel="0" r="56">
      <c r="A56" s="39" t="n">
        <v>45433</v>
      </c>
      <c r="B56" s="16" t="s">
        <v>887</v>
      </c>
      <c r="C56" s="16" t="s">
        <v>162</v>
      </c>
      <c r="D56" s="16" t="s">
        <v>163</v>
      </c>
      <c r="E56" s="6" t="n">
        <v>1000</v>
      </c>
      <c r="F56" s="7" t="n">
        <v>10</v>
      </c>
      <c r="G56" s="6" t="n">
        <v>32.16</v>
      </c>
      <c r="H56" s="6" t="n">
        <v>42</v>
      </c>
      <c r="I56" s="6" t="n">
        <v>321.6</v>
      </c>
      <c r="J56" s="6" t="n">
        <v>279.6</v>
      </c>
    </row>
    <row collapsed="false" customFormat="false" customHeight="false" hidden="false" ht="12.1" outlineLevel="0" r="57">
      <c r="A57" s="39" t="n">
        <v>45433</v>
      </c>
      <c r="B57" s="16" t="s">
        <v>887</v>
      </c>
      <c r="C57" s="16" t="s">
        <v>192</v>
      </c>
      <c r="D57" s="16" t="s">
        <v>193</v>
      </c>
      <c r="E57" s="6" t="n">
        <v>1000</v>
      </c>
      <c r="F57" s="7" t="n">
        <v>4</v>
      </c>
      <c r="G57" s="6" t="n">
        <v>34.16</v>
      </c>
      <c r="H57" s="6" t="n">
        <v>18</v>
      </c>
      <c r="I57" s="6" t="n">
        <v>136.64</v>
      </c>
      <c r="J57" s="6" t="n">
        <v>118.64</v>
      </c>
    </row>
    <row collapsed="false" customFormat="false" customHeight="false" hidden="false" ht="12.1" outlineLevel="0" r="58">
      <c r="A58" s="39" t="n">
        <v>45438</v>
      </c>
      <c r="B58" s="16" t="s">
        <v>887</v>
      </c>
      <c r="C58" s="16" t="s">
        <v>198</v>
      </c>
      <c r="D58" s="16" t="s">
        <v>199</v>
      </c>
      <c r="E58" s="6" t="n">
        <v>1000</v>
      </c>
      <c r="F58" s="7" t="n">
        <v>5</v>
      </c>
      <c r="G58" s="6" t="n">
        <v>18.32</v>
      </c>
      <c r="H58" s="6" t="n">
        <v>12</v>
      </c>
      <c r="I58" s="6" t="n">
        <v>91.6</v>
      </c>
      <c r="J58" s="6" t="n">
        <v>79.6</v>
      </c>
    </row>
    <row collapsed="false" customFormat="false" customHeight="false" hidden="false" ht="12.1" outlineLevel="0" r="59">
      <c r="A59" s="39" t="n">
        <v>45439</v>
      </c>
      <c r="B59" s="16" t="s">
        <v>887</v>
      </c>
      <c r="C59" s="16" t="s">
        <v>147</v>
      </c>
      <c r="D59" s="16" t="s">
        <v>148</v>
      </c>
      <c r="E59" s="6" t="n">
        <v>1000</v>
      </c>
      <c r="F59" s="7" t="n">
        <v>3</v>
      </c>
      <c r="G59" s="6" t="n">
        <v>11.18</v>
      </c>
      <c r="H59" s="6" t="n">
        <v>4</v>
      </c>
      <c r="I59" s="6" t="n">
        <v>33.54</v>
      </c>
      <c r="J59" s="6" t="n">
        <v>29.54</v>
      </c>
    </row>
    <row collapsed="false" customFormat="false" customHeight="false" hidden="false" ht="12.1" outlineLevel="0" r="60">
      <c r="A60" s="39" t="n">
        <v>45442</v>
      </c>
      <c r="B60" s="16" t="s">
        <v>887</v>
      </c>
      <c r="C60" s="16" t="s">
        <v>216</v>
      </c>
      <c r="D60" s="16" t="s">
        <v>217</v>
      </c>
      <c r="E60" s="6" t="n">
        <v>1000</v>
      </c>
      <c r="F60" s="7" t="n">
        <v>3</v>
      </c>
      <c r="G60" s="6" t="n">
        <v>24.81</v>
      </c>
      <c r="H60" s="6" t="n">
        <v>10</v>
      </c>
      <c r="I60" s="6" t="n">
        <v>74.43</v>
      </c>
      <c r="J60" s="6" t="n">
        <v>64.43</v>
      </c>
    </row>
    <row collapsed="false" customFormat="false" customHeight="false" hidden="false" ht="12.1" outlineLevel="0" r="61">
      <c r="A61" s="39" t="n">
        <v>45443</v>
      </c>
      <c r="B61" s="16" t="s">
        <v>887</v>
      </c>
      <c r="C61" s="16" t="s">
        <v>228</v>
      </c>
      <c r="D61" s="16" t="s">
        <v>229</v>
      </c>
      <c r="E61" s="6" t="n">
        <v>1000</v>
      </c>
      <c r="F61" s="7" t="n">
        <v>7</v>
      </c>
      <c r="G61" s="6" t="n">
        <v>6.79</v>
      </c>
      <c r="H61" s="6" t="n">
        <v>6</v>
      </c>
      <c r="I61" s="6" t="n">
        <v>47.53</v>
      </c>
      <c r="J61" s="6" t="n">
        <v>41.53</v>
      </c>
    </row>
    <row collapsed="false" customFormat="false" customHeight="false" hidden="false" ht="12.1" outlineLevel="0" r="62">
      <c r="A62" s="39" t="n">
        <v>45446</v>
      </c>
      <c r="B62" s="16" t="s">
        <v>887</v>
      </c>
      <c r="C62" s="16" t="s">
        <v>177</v>
      </c>
      <c r="D62" s="16" t="s">
        <v>178</v>
      </c>
      <c r="E62" s="6" t="n">
        <v>1000</v>
      </c>
      <c r="F62" s="7" t="n">
        <v>1</v>
      </c>
      <c r="G62" s="6" t="n">
        <v>11.26</v>
      </c>
      <c r="H62" s="6" t="n">
        <v>1</v>
      </c>
      <c r="I62" s="6" t="n">
        <v>11.26</v>
      </c>
      <c r="J62" s="6" t="n">
        <v>10.26</v>
      </c>
    </row>
    <row collapsed="false" customFormat="false" customHeight="false" hidden="false" ht="12.1" outlineLevel="0" r="63">
      <c r="A63" s="39" t="n">
        <v>45447</v>
      </c>
      <c r="B63" s="16" t="s">
        <v>887</v>
      </c>
      <c r="C63" s="16" t="s">
        <v>134</v>
      </c>
      <c r="D63" s="16" t="s">
        <v>136</v>
      </c>
      <c r="E63" s="6" t="n">
        <v>1000</v>
      </c>
      <c r="F63" s="7" t="n">
        <v>27</v>
      </c>
      <c r="G63" s="6" t="n">
        <v>35.4</v>
      </c>
      <c r="H63" s="6" t="n">
        <v>124</v>
      </c>
      <c r="I63" s="6" t="n">
        <v>955.8</v>
      </c>
      <c r="J63" s="6" t="n">
        <v>831.8</v>
      </c>
    </row>
    <row collapsed="false" customFormat="false" customHeight="false" hidden="false" ht="12.1" outlineLevel="0" r="64">
      <c r="A64" s="39" t="n">
        <v>45451</v>
      </c>
      <c r="B64" s="16" t="s">
        <v>887</v>
      </c>
      <c r="C64" s="16" t="s">
        <v>240</v>
      </c>
      <c r="D64" s="16" t="s">
        <v>241</v>
      </c>
      <c r="E64" s="6" t="n">
        <v>1000</v>
      </c>
      <c r="F64" s="7" t="n">
        <v>2</v>
      </c>
      <c r="G64" s="6" t="n">
        <v>10.68</v>
      </c>
      <c r="H64" s="6" t="n">
        <v>3</v>
      </c>
      <c r="I64" s="6" t="n">
        <v>21.36</v>
      </c>
      <c r="J64" s="6" t="n">
        <v>18.36</v>
      </c>
    </row>
    <row collapsed="false" customFormat="false" customHeight="false" hidden="false" ht="12.1" outlineLevel="0" r="65">
      <c r="A65" s="39" t="n">
        <v>45452</v>
      </c>
      <c r="B65" s="16" t="s">
        <v>887</v>
      </c>
      <c r="C65" s="16" t="s">
        <v>231</v>
      </c>
      <c r="D65" s="16" t="s">
        <v>232</v>
      </c>
      <c r="E65" s="6" t="n">
        <v>1000</v>
      </c>
      <c r="F65" s="7" t="n">
        <v>1</v>
      </c>
      <c r="G65" s="6" t="n">
        <v>30.92</v>
      </c>
      <c r="H65" s="6" t="n">
        <v>4</v>
      </c>
      <c r="I65" s="6" t="n">
        <v>30.92</v>
      </c>
      <c r="J65" s="6" t="n">
        <v>26.92</v>
      </c>
    </row>
    <row collapsed="false" customFormat="false" customHeight="false" hidden="false" ht="12.1" outlineLevel="0" r="66">
      <c r="A66" s="39" t="n">
        <v>45454</v>
      </c>
      <c r="B66" s="16" t="s">
        <v>887</v>
      </c>
      <c r="C66" s="16" t="s">
        <v>234</v>
      </c>
      <c r="D66" s="16" t="s">
        <v>235</v>
      </c>
      <c r="E66" s="6" t="n">
        <v>671.5799999999999</v>
      </c>
      <c r="F66" s="7" t="n">
        <v>1</v>
      </c>
      <c r="G66" s="6" t="n">
        <v>29.3</v>
      </c>
      <c r="H66" s="6" t="n">
        <v>4</v>
      </c>
      <c r="I66" s="6" t="n">
        <v>29.3</v>
      </c>
      <c r="J66" s="6" t="n">
        <v>25.3</v>
      </c>
    </row>
    <row collapsed="false" customFormat="false" customHeight="false" hidden="false" ht="12.1" outlineLevel="0" r="67">
      <c r="A67" s="39" t="n">
        <v>45454</v>
      </c>
      <c r="B67" s="16" t="s">
        <v>887</v>
      </c>
      <c r="C67" s="16" t="s">
        <v>602</v>
      </c>
      <c r="D67" s="16" t="s">
        <v>894</v>
      </c>
      <c r="E67" s="6" t="n">
        <v>1000</v>
      </c>
      <c r="F67" s="7" t="n">
        <v>3</v>
      </c>
      <c r="G67" s="6" t="n">
        <v>13.36</v>
      </c>
      <c r="H67" s="6" t="n">
        <v>5</v>
      </c>
      <c r="I67" s="6" t="n">
        <v>40.08</v>
      </c>
      <c r="J67" s="6" t="n">
        <v>35.08</v>
      </c>
    </row>
    <row collapsed="false" customFormat="false" customHeight="false" hidden="false" ht="12.1" outlineLevel="0" r="68">
      <c r="A68" s="39" t="n">
        <v>45455</v>
      </c>
      <c r="B68" s="16" t="s">
        <v>887</v>
      </c>
      <c r="C68" s="16" t="s">
        <v>213</v>
      </c>
      <c r="D68" s="16" t="s">
        <v>214</v>
      </c>
      <c r="E68" s="6" t="n">
        <v>1000</v>
      </c>
      <c r="F68" s="7" t="n">
        <v>10</v>
      </c>
      <c r="G68" s="6" t="n">
        <v>13.15</v>
      </c>
      <c r="H68" s="6" t="n">
        <v>17</v>
      </c>
      <c r="I68" s="6" t="n">
        <v>131.5</v>
      </c>
      <c r="J68" s="6" t="n">
        <v>114.5</v>
      </c>
    </row>
    <row collapsed="false" customFormat="false" customHeight="false" hidden="false" ht="12.1" outlineLevel="0" r="69">
      <c r="A69" s="39" t="n">
        <v>45456</v>
      </c>
      <c r="B69" s="16" t="s">
        <v>887</v>
      </c>
      <c r="C69" s="16" t="s">
        <v>171</v>
      </c>
      <c r="D69" s="16" t="s">
        <v>172</v>
      </c>
      <c r="E69" s="6" t="n">
        <v>1000</v>
      </c>
      <c r="F69" s="7" t="n">
        <v>7</v>
      </c>
      <c r="G69" s="6" t="n">
        <v>17.83</v>
      </c>
      <c r="H69" s="6" t="n">
        <v>16</v>
      </c>
      <c r="I69" s="6" t="n">
        <v>124.81</v>
      </c>
      <c r="J69" s="6" t="n">
        <v>108.81</v>
      </c>
    </row>
    <row collapsed="false" customFormat="false" customHeight="false" hidden="false" ht="12.1" outlineLevel="0" r="70">
      <c r="A70" s="39" t="n">
        <v>45467</v>
      </c>
      <c r="B70" s="16" t="s">
        <v>887</v>
      </c>
      <c r="C70" s="16" t="s">
        <v>603</v>
      </c>
      <c r="D70" s="16" t="s">
        <v>898</v>
      </c>
      <c r="E70" s="6" t="n">
        <v>1000</v>
      </c>
      <c r="F70" s="7" t="n">
        <v>2</v>
      </c>
      <c r="G70" s="6" t="n">
        <v>31.66</v>
      </c>
      <c r="H70" s="6" t="n">
        <v>8</v>
      </c>
      <c r="I70" s="6" t="n">
        <v>63.32</v>
      </c>
      <c r="J70" s="6" t="n">
        <v>55.32</v>
      </c>
    </row>
    <row collapsed="false" customFormat="false" customHeight="false" hidden="false" ht="12.1" outlineLevel="0" r="71">
      <c r="A71" s="39" t="n">
        <v>45469</v>
      </c>
      <c r="B71" s="16" t="s">
        <v>887</v>
      </c>
      <c r="C71" s="16" t="s">
        <v>147</v>
      </c>
      <c r="D71" s="16" t="s">
        <v>148</v>
      </c>
      <c r="E71" s="6" t="n">
        <v>1000</v>
      </c>
      <c r="F71" s="7" t="n">
        <v>3</v>
      </c>
      <c r="G71" s="6" t="n">
        <v>11.18</v>
      </c>
      <c r="H71" s="6" t="n">
        <v>4</v>
      </c>
      <c r="I71" s="6" t="n">
        <v>33.54</v>
      </c>
      <c r="J71" s="6" t="n">
        <v>29.54</v>
      </c>
    </row>
    <row collapsed="false" customFormat="false" customHeight="false" hidden="false" ht="12.1" outlineLevel="0" r="72">
      <c r="A72" s="39" t="n">
        <v>45473</v>
      </c>
      <c r="B72" s="16" t="s">
        <v>887</v>
      </c>
      <c r="C72" s="16" t="s">
        <v>228</v>
      </c>
      <c r="D72" s="16" t="s">
        <v>229</v>
      </c>
      <c r="E72" s="6" t="n">
        <v>1000</v>
      </c>
      <c r="F72" s="7" t="n">
        <v>7</v>
      </c>
      <c r="G72" s="6" t="n">
        <v>6.58</v>
      </c>
      <c r="H72" s="6" t="n">
        <v>6</v>
      </c>
      <c r="I72" s="6" t="n">
        <v>46.06</v>
      </c>
      <c r="J72" s="6" t="n">
        <v>40.06</v>
      </c>
    </row>
    <row collapsed="false" customFormat="false" customHeight="false" hidden="false" ht="12.1" outlineLevel="0" r="73">
      <c r="A73" s="39" t="n">
        <v>45476</v>
      </c>
      <c r="B73" s="16" t="s">
        <v>887</v>
      </c>
      <c r="C73" s="16" t="s">
        <v>210</v>
      </c>
      <c r="D73" s="16" t="s">
        <v>211</v>
      </c>
      <c r="E73" s="6" t="n">
        <v>1000</v>
      </c>
      <c r="F73" s="7" t="n">
        <v>4</v>
      </c>
      <c r="G73" s="6" t="n">
        <v>29.42</v>
      </c>
      <c r="H73" s="6" t="n">
        <v>15</v>
      </c>
      <c r="I73" s="6" t="n">
        <v>117.68</v>
      </c>
      <c r="J73" s="6" t="n">
        <v>102.68</v>
      </c>
    </row>
    <row collapsed="false" customFormat="false" customHeight="false" hidden="false" ht="12.1" outlineLevel="0" r="74">
      <c r="A74" s="39" t="n">
        <v>45476</v>
      </c>
      <c r="B74" s="16" t="s">
        <v>887</v>
      </c>
      <c r="C74" s="16" t="s">
        <v>177</v>
      </c>
      <c r="D74" s="16" t="s">
        <v>178</v>
      </c>
      <c r="E74" s="6" t="n">
        <v>1000</v>
      </c>
      <c r="F74" s="7" t="n">
        <v>1</v>
      </c>
      <c r="G74" s="6" t="n">
        <v>11.26</v>
      </c>
      <c r="H74" s="6" t="n">
        <v>1</v>
      </c>
      <c r="I74" s="6" t="n">
        <v>11.26</v>
      </c>
      <c r="J74" s="6" t="n">
        <v>10.26</v>
      </c>
    </row>
    <row collapsed="false" customFormat="false" customHeight="false" hidden="false" ht="12.1" outlineLevel="0" r="75">
      <c r="A75" s="39" t="n">
        <v>45481</v>
      </c>
      <c r="B75" s="16" t="s">
        <v>887</v>
      </c>
      <c r="C75" s="16" t="s">
        <v>605</v>
      </c>
      <c r="D75" s="16" t="s">
        <v>893</v>
      </c>
      <c r="E75" s="6" t="n">
        <v>1000</v>
      </c>
      <c r="F75" s="7" t="n">
        <v>2</v>
      </c>
      <c r="G75" s="6" t="n">
        <v>44.88</v>
      </c>
      <c r="H75" s="6" t="n">
        <v>12</v>
      </c>
      <c r="I75" s="6" t="n">
        <v>89.76</v>
      </c>
      <c r="J75" s="6" t="n">
        <v>77.76</v>
      </c>
    </row>
    <row collapsed="false" customFormat="false" customHeight="false" hidden="false" ht="12.1" outlineLevel="0" r="76">
      <c r="A76" s="39" t="n">
        <v>45481</v>
      </c>
      <c r="B76" s="16" t="s">
        <v>887</v>
      </c>
      <c r="C76" s="16" t="s">
        <v>240</v>
      </c>
      <c r="D76" s="16" t="s">
        <v>241</v>
      </c>
      <c r="E76" s="6" t="n">
        <v>1000</v>
      </c>
      <c r="F76" s="7" t="n">
        <v>2</v>
      </c>
      <c r="G76" s="6" t="n">
        <v>10.68</v>
      </c>
      <c r="H76" s="6" t="n">
        <v>3</v>
      </c>
      <c r="I76" s="6" t="n">
        <v>21.36</v>
      </c>
      <c r="J76" s="6" t="n">
        <v>18.36</v>
      </c>
    </row>
    <row collapsed="false" customFormat="false" customHeight="false" hidden="false" ht="12.1" outlineLevel="0" r="77">
      <c r="A77" s="39" t="n">
        <v>45484</v>
      </c>
      <c r="B77" s="16" t="s">
        <v>887</v>
      </c>
      <c r="C77" s="16" t="s">
        <v>602</v>
      </c>
      <c r="D77" s="16" t="s">
        <v>894</v>
      </c>
      <c r="E77" s="6" t="n">
        <v>1000</v>
      </c>
      <c r="F77" s="7" t="n">
        <v>3</v>
      </c>
      <c r="G77" s="6" t="n">
        <v>13.36</v>
      </c>
      <c r="H77" s="6" t="n">
        <v>5</v>
      </c>
      <c r="I77" s="6" t="n">
        <v>40.08</v>
      </c>
      <c r="J77" s="6" t="n">
        <v>35.08</v>
      </c>
    </row>
    <row collapsed="false" customFormat="false" customHeight="false" hidden="false" ht="12.1" outlineLevel="0" r="78">
      <c r="A78" s="39" t="n">
        <v>45485</v>
      </c>
      <c r="B78" s="16" t="s">
        <v>887</v>
      </c>
      <c r="C78" s="16" t="s">
        <v>213</v>
      </c>
      <c r="D78" s="16" t="s">
        <v>214</v>
      </c>
      <c r="E78" s="6" t="n">
        <v>1000</v>
      </c>
      <c r="F78" s="7" t="n">
        <v>10</v>
      </c>
      <c r="G78" s="6" t="n">
        <v>13.15</v>
      </c>
      <c r="H78" s="6" t="n">
        <v>17</v>
      </c>
      <c r="I78" s="6" t="n">
        <v>131.5</v>
      </c>
      <c r="J78" s="6" t="n">
        <v>114.5</v>
      </c>
    </row>
    <row collapsed="false" customFormat="false" customHeight="false" hidden="false" ht="12.1" outlineLevel="0" r="79">
      <c r="A79" s="39" t="n">
        <v>45497</v>
      </c>
      <c r="B79" s="16" t="s">
        <v>887</v>
      </c>
      <c r="C79" s="16" t="s">
        <v>180</v>
      </c>
      <c r="D79" s="16" t="s">
        <v>181</v>
      </c>
      <c r="E79" s="6" t="n">
        <v>1000</v>
      </c>
      <c r="F79" s="7" t="n">
        <v>7</v>
      </c>
      <c r="G79" s="6" t="n">
        <v>16.83</v>
      </c>
      <c r="H79" s="6" t="n">
        <v>15</v>
      </c>
      <c r="I79" s="6" t="n">
        <v>117.81</v>
      </c>
      <c r="J79" s="6" t="n">
        <v>102.81</v>
      </c>
    </row>
    <row collapsed="false" customFormat="false" customHeight="false" hidden="false" ht="12.1" outlineLevel="0" r="80">
      <c r="A80" s="39" t="n">
        <v>45497</v>
      </c>
      <c r="B80" s="16" t="s">
        <v>887</v>
      </c>
      <c r="C80" s="16" t="s">
        <v>604</v>
      </c>
      <c r="D80" s="16" t="s">
        <v>895</v>
      </c>
      <c r="E80" s="6" t="n">
        <v>1000</v>
      </c>
      <c r="F80" s="7" t="n">
        <v>2</v>
      </c>
      <c r="G80" s="6" t="n">
        <v>44.88</v>
      </c>
      <c r="H80" s="6" t="n">
        <v>12</v>
      </c>
      <c r="I80" s="6" t="n">
        <v>89.76</v>
      </c>
      <c r="J80" s="6" t="n">
        <v>77.76</v>
      </c>
    </row>
    <row collapsed="false" customFormat="false" customHeight="false" hidden="false" ht="12.1" outlineLevel="0" r="81">
      <c r="A81" s="39" t="n">
        <v>45499</v>
      </c>
      <c r="B81" s="16" t="s">
        <v>887</v>
      </c>
      <c r="C81" s="16" t="s">
        <v>147</v>
      </c>
      <c r="D81" s="16" t="s">
        <v>148</v>
      </c>
      <c r="E81" s="6" t="n">
        <v>1000</v>
      </c>
      <c r="F81" s="7" t="n">
        <v>8</v>
      </c>
      <c r="G81" s="6" t="n">
        <v>11.18</v>
      </c>
      <c r="H81" s="6" t="n">
        <v>12</v>
      </c>
      <c r="I81" s="6" t="n">
        <v>89.44</v>
      </c>
      <c r="J81" s="6" t="n">
        <v>77.44</v>
      </c>
    </row>
    <row collapsed="false" customFormat="false" customHeight="false" hidden="false" ht="12.1" outlineLevel="0" r="82">
      <c r="A82" s="39" t="n">
        <v>45504</v>
      </c>
      <c r="B82" s="16" t="s">
        <v>887</v>
      </c>
      <c r="C82" s="16" t="s">
        <v>228</v>
      </c>
      <c r="D82" s="16" t="s">
        <v>229</v>
      </c>
      <c r="E82" s="6" t="n">
        <v>942.27</v>
      </c>
      <c r="F82" s="7" t="n">
        <v>7</v>
      </c>
      <c r="G82" s="6" t="n">
        <v>6.4</v>
      </c>
      <c r="H82" s="6" t="n">
        <v>6</v>
      </c>
      <c r="I82" s="6" t="n">
        <v>44.8</v>
      </c>
      <c r="J82" s="6" t="n">
        <v>38.8</v>
      </c>
    </row>
    <row collapsed="false" customFormat="false" customHeight="false" hidden="false" ht="12.1" outlineLevel="0" r="83">
      <c r="A83" s="39" t="n">
        <v>45505</v>
      </c>
      <c r="B83" s="16" t="s">
        <v>887</v>
      </c>
      <c r="C83" s="16" t="s">
        <v>237</v>
      </c>
      <c r="D83" s="16" t="s">
        <v>238</v>
      </c>
      <c r="E83" s="6" t="n">
        <v>657.45</v>
      </c>
      <c r="F83" s="7" t="n">
        <v>10</v>
      </c>
      <c r="G83" s="6" t="n">
        <v>6.14</v>
      </c>
      <c r="H83" s="6" t="n">
        <v>8</v>
      </c>
      <c r="I83" s="6" t="n">
        <v>61.4</v>
      </c>
      <c r="J83" s="6" t="n">
        <v>53.4</v>
      </c>
    </row>
    <row collapsed="false" customFormat="false" customHeight="false" hidden="false" ht="12.1" outlineLevel="0" r="84">
      <c r="A84" s="39" t="n">
        <v>45506</v>
      </c>
      <c r="B84" s="16" t="s">
        <v>887</v>
      </c>
      <c r="C84" s="16" t="s">
        <v>177</v>
      </c>
      <c r="D84" s="16" t="s">
        <v>178</v>
      </c>
      <c r="E84" s="6" t="n">
        <v>1000</v>
      </c>
      <c r="F84" s="7" t="n">
        <v>4</v>
      </c>
      <c r="G84" s="6" t="n">
        <v>11.26</v>
      </c>
      <c r="H84" s="6" t="n">
        <v>6</v>
      </c>
      <c r="I84" s="6" t="n">
        <v>45.04</v>
      </c>
      <c r="J84" s="6" t="n">
        <v>39.04</v>
      </c>
    </row>
    <row collapsed="false" customFormat="false" customHeight="false" hidden="false" ht="12.1" outlineLevel="0" r="85">
      <c r="A85" s="39" t="n">
        <v>45511</v>
      </c>
      <c r="B85" s="16" t="s">
        <v>887</v>
      </c>
      <c r="C85" s="16" t="s">
        <v>240</v>
      </c>
      <c r="D85" s="16" t="s">
        <v>241</v>
      </c>
      <c r="E85" s="6" t="n">
        <v>1000</v>
      </c>
      <c r="F85" s="7" t="n">
        <v>2</v>
      </c>
      <c r="G85" s="6" t="n">
        <v>10.68</v>
      </c>
      <c r="H85" s="6" t="n">
        <v>3</v>
      </c>
      <c r="I85" s="6" t="n">
        <v>21.36</v>
      </c>
      <c r="J85" s="6" t="n">
        <v>18.36</v>
      </c>
    </row>
    <row collapsed="false" customFormat="false" customHeight="false" hidden="false" ht="12.1" outlineLevel="0" r="86">
      <c r="A86" s="39" t="n">
        <v>45514</v>
      </c>
      <c r="B86" s="16" t="s">
        <v>887</v>
      </c>
      <c r="C86" s="16" t="s">
        <v>602</v>
      </c>
      <c r="D86" s="16" t="s">
        <v>894</v>
      </c>
      <c r="E86" s="6" t="n">
        <v>1000</v>
      </c>
      <c r="F86" s="7" t="n">
        <v>3</v>
      </c>
      <c r="G86" s="6" t="n">
        <v>13.36</v>
      </c>
      <c r="H86" s="6" t="n">
        <v>5</v>
      </c>
      <c r="I86" s="6" t="n">
        <v>40.08</v>
      </c>
      <c r="J86" s="6" t="n">
        <v>35.08</v>
      </c>
    </row>
    <row collapsed="false" customFormat="false" customHeight="false" hidden="false" ht="12.1" outlineLevel="0" r="87">
      <c r="A87" s="39" t="n">
        <v>45515</v>
      </c>
      <c r="B87" s="16" t="s">
        <v>887</v>
      </c>
      <c r="C87" s="16" t="s">
        <v>213</v>
      </c>
      <c r="D87" s="16" t="s">
        <v>214</v>
      </c>
      <c r="E87" s="6" t="n">
        <v>1000</v>
      </c>
      <c r="F87" s="7" t="n">
        <v>10</v>
      </c>
      <c r="G87" s="6" t="n">
        <v>13.15</v>
      </c>
      <c r="H87" s="6" t="n">
        <v>17</v>
      </c>
      <c r="I87" s="6" t="n">
        <v>131.5</v>
      </c>
      <c r="J87" s="6" t="n">
        <v>114.5</v>
      </c>
    </row>
    <row collapsed="false" customFormat="false" customHeight="false" hidden="false" ht="12.1" outlineLevel="0" r="88">
      <c r="A88" s="39" t="n">
        <v>45517</v>
      </c>
      <c r="B88" s="16" t="s">
        <v>887</v>
      </c>
      <c r="C88" s="16" t="s">
        <v>138</v>
      </c>
      <c r="D88" s="16" t="s">
        <v>139</v>
      </c>
      <c r="E88" s="6" t="n">
        <v>1000</v>
      </c>
      <c r="F88" s="7" t="n">
        <v>80</v>
      </c>
      <c r="G88" s="6" t="n">
        <v>34.9</v>
      </c>
      <c r="H88" s="6" t="n">
        <v>363</v>
      </c>
      <c r="I88" s="6" t="n">
        <v>2792</v>
      </c>
      <c r="J88" s="6" t="n">
        <v>2429</v>
      </c>
    </row>
    <row collapsed="false" customFormat="false" customHeight="false" hidden="false" ht="12.1" outlineLevel="0" r="89">
      <c r="A89" s="39" t="n">
        <v>45518</v>
      </c>
      <c r="B89" s="16" t="s">
        <v>887</v>
      </c>
      <c r="C89" s="16" t="s">
        <v>219</v>
      </c>
      <c r="D89" s="16" t="s">
        <v>220</v>
      </c>
      <c r="E89" s="6" t="n">
        <v>1000</v>
      </c>
      <c r="F89" s="7" t="n">
        <v>5</v>
      </c>
      <c r="G89" s="6" t="n">
        <v>39.89</v>
      </c>
      <c r="H89" s="6" t="n">
        <v>26</v>
      </c>
      <c r="I89" s="6" t="n">
        <v>199.45</v>
      </c>
      <c r="J89" s="6" t="n">
        <v>173.45</v>
      </c>
    </row>
    <row collapsed="false" customFormat="false" customHeight="false" hidden="false" ht="12.1" outlineLevel="0" r="90">
      <c r="A90" s="39" t="n">
        <v>45519</v>
      </c>
      <c r="B90" s="16" t="s">
        <v>887</v>
      </c>
      <c r="C90" s="16" t="s">
        <v>222</v>
      </c>
      <c r="D90" s="16" t="s">
        <v>223</v>
      </c>
      <c r="E90" s="6" t="n">
        <v>1000</v>
      </c>
      <c r="F90" s="7" t="n">
        <v>2</v>
      </c>
      <c r="G90" s="6" t="n">
        <v>66.32</v>
      </c>
      <c r="H90" s="6" t="n">
        <v>17</v>
      </c>
      <c r="I90" s="6" t="n">
        <v>132.64</v>
      </c>
      <c r="J90" s="6" t="n">
        <v>115.64</v>
      </c>
    </row>
    <row collapsed="false" customFormat="false" customHeight="false" hidden="false" ht="12.1" outlineLevel="0" r="91">
      <c r="A91" s="39" t="n">
        <v>45523</v>
      </c>
      <c r="B91" s="16" t="s">
        <v>887</v>
      </c>
      <c r="C91" s="16" t="s">
        <v>608</v>
      </c>
      <c r="D91" s="16" t="s">
        <v>896</v>
      </c>
      <c r="E91" s="6" t="n">
        <v>1000</v>
      </c>
      <c r="F91" s="7" t="n">
        <v>2</v>
      </c>
      <c r="G91" s="6" t="n">
        <v>8</v>
      </c>
      <c r="H91" s="6" t="n">
        <v>2</v>
      </c>
      <c r="I91" s="6" t="n">
        <v>16</v>
      </c>
      <c r="J91" s="6" t="n">
        <v>14</v>
      </c>
    </row>
    <row collapsed="false" customFormat="false" customHeight="false" hidden="false" ht="12.1" outlineLevel="0" r="92">
      <c r="A92" s="39" t="n">
        <v>45524</v>
      </c>
      <c r="B92" s="16" t="s">
        <v>887</v>
      </c>
      <c r="C92" s="16" t="s">
        <v>192</v>
      </c>
      <c r="D92" s="16" t="s">
        <v>193</v>
      </c>
      <c r="E92" s="6" t="n">
        <v>1000</v>
      </c>
      <c r="F92" s="7" t="n">
        <v>5</v>
      </c>
      <c r="G92" s="6" t="n">
        <v>34.16</v>
      </c>
      <c r="H92" s="6" t="n">
        <v>22</v>
      </c>
      <c r="I92" s="6" t="n">
        <v>170.8</v>
      </c>
      <c r="J92" s="6" t="n">
        <v>148.8</v>
      </c>
    </row>
    <row collapsed="false" customFormat="false" customHeight="false" hidden="false" ht="12.1" outlineLevel="0" r="93">
      <c r="A93" s="39" t="n">
        <v>45524</v>
      </c>
      <c r="B93" s="16" t="s">
        <v>887</v>
      </c>
      <c r="C93" s="16" t="s">
        <v>162</v>
      </c>
      <c r="D93" s="16" t="s">
        <v>163</v>
      </c>
      <c r="E93" s="6" t="n">
        <v>1000</v>
      </c>
      <c r="F93" s="7" t="n">
        <v>19</v>
      </c>
      <c r="G93" s="6" t="n">
        <v>32.16</v>
      </c>
      <c r="H93" s="6" t="n">
        <v>79</v>
      </c>
      <c r="I93" s="6" t="n">
        <v>611.04</v>
      </c>
      <c r="J93" s="6" t="n">
        <v>532.04</v>
      </c>
    </row>
    <row collapsed="false" customFormat="false" customHeight="false" hidden="false" ht="12.1" outlineLevel="0" r="94">
      <c r="A94" s="39" t="n">
        <v>45529</v>
      </c>
      <c r="B94" s="16" t="s">
        <v>887</v>
      </c>
      <c r="C94" s="16" t="s">
        <v>198</v>
      </c>
      <c r="D94" s="16" t="s">
        <v>199</v>
      </c>
      <c r="E94" s="6" t="n">
        <v>1000</v>
      </c>
      <c r="F94" s="7" t="n">
        <v>5</v>
      </c>
      <c r="G94" s="6" t="n">
        <v>18.32</v>
      </c>
      <c r="H94" s="6" t="n">
        <v>12</v>
      </c>
      <c r="I94" s="6" t="n">
        <v>91.6</v>
      </c>
      <c r="J94" s="6" t="n">
        <v>79.6</v>
      </c>
    </row>
    <row collapsed="false" customFormat="false" customHeight="false" hidden="false" ht="12.1" outlineLevel="0" r="95">
      <c r="A95" s="39" t="n">
        <v>45529</v>
      </c>
      <c r="B95" s="16" t="s">
        <v>887</v>
      </c>
      <c r="C95" s="16" t="s">
        <v>147</v>
      </c>
      <c r="D95" s="16" t="s">
        <v>148</v>
      </c>
      <c r="E95" s="6" t="n">
        <v>1000</v>
      </c>
      <c r="F95" s="7" t="n">
        <v>8</v>
      </c>
      <c r="G95" s="6" t="n">
        <v>11.18</v>
      </c>
      <c r="H95" s="6" t="n">
        <v>12</v>
      </c>
      <c r="I95" s="6" t="n">
        <v>89.44</v>
      </c>
      <c r="J95" s="6" t="n">
        <v>77.44</v>
      </c>
    </row>
    <row collapsed="false" customFormat="false" customHeight="false" hidden="false" ht="12.1" outlineLevel="0" r="96">
      <c r="A96" s="39" t="n">
        <v>45533</v>
      </c>
      <c r="B96" s="16" t="s">
        <v>887</v>
      </c>
      <c r="C96" s="16" t="s">
        <v>216</v>
      </c>
      <c r="D96" s="16" t="s">
        <v>217</v>
      </c>
      <c r="E96" s="6" t="n">
        <v>1000</v>
      </c>
      <c r="F96" s="7" t="n">
        <v>3</v>
      </c>
      <c r="G96" s="6" t="n">
        <v>24.81</v>
      </c>
      <c r="H96" s="6" t="n">
        <v>10</v>
      </c>
      <c r="I96" s="6" t="n">
        <v>74.43</v>
      </c>
      <c r="J96" s="6" t="n">
        <v>64.43</v>
      </c>
    </row>
    <row collapsed="false" customFormat="false" customHeight="false" hidden="false" ht="12.1" outlineLevel="0" r="97">
      <c r="A97" s="39" t="n">
        <v>45535</v>
      </c>
      <c r="B97" s="16" t="s">
        <v>887</v>
      </c>
      <c r="C97" s="16" t="s">
        <v>228</v>
      </c>
      <c r="D97" s="16" t="s">
        <v>229</v>
      </c>
      <c r="E97" s="6" t="n">
        <v>891.77</v>
      </c>
      <c r="F97" s="7" t="n">
        <v>7</v>
      </c>
      <c r="G97" s="6" t="n">
        <v>6.06</v>
      </c>
      <c r="H97" s="6" t="n">
        <v>6</v>
      </c>
      <c r="I97" s="6" t="n">
        <v>42.42</v>
      </c>
      <c r="J97" s="6" t="n">
        <v>36.42</v>
      </c>
    </row>
    <row collapsed="false" customFormat="false" customHeight="false" hidden="false" ht="12.1" outlineLevel="0" r="98">
      <c r="A98" s="39" t="n">
        <v>45536</v>
      </c>
      <c r="B98" s="16" t="s">
        <v>887</v>
      </c>
      <c r="C98" s="16" t="s">
        <v>177</v>
      </c>
      <c r="D98" s="16" t="s">
        <v>178</v>
      </c>
      <c r="E98" s="6" t="n">
        <v>1000</v>
      </c>
      <c r="F98" s="7" t="n">
        <v>7</v>
      </c>
      <c r="G98" s="6" t="n">
        <v>11.26</v>
      </c>
      <c r="H98" s="6" t="n">
        <v>10</v>
      </c>
      <c r="I98" s="6" t="n">
        <v>78.82</v>
      </c>
      <c r="J98" s="6" t="n">
        <v>68.82</v>
      </c>
    </row>
    <row collapsed="false" customFormat="false" customHeight="false" hidden="false" ht="12.1" outlineLevel="0" r="99">
      <c r="A99" s="39" t="n">
        <v>45536</v>
      </c>
      <c r="B99" s="16" t="s">
        <v>887</v>
      </c>
      <c r="C99" s="16" t="s">
        <v>237</v>
      </c>
      <c r="D99" s="16" t="s">
        <v>238</v>
      </c>
      <c r="E99" s="6" t="n">
        <v>616.2</v>
      </c>
      <c r="F99" s="7" t="n">
        <v>10</v>
      </c>
      <c r="G99" s="6" t="n">
        <v>5.76</v>
      </c>
      <c r="H99" s="6" t="n">
        <v>7</v>
      </c>
      <c r="I99" s="6" t="n">
        <v>57.6</v>
      </c>
      <c r="J99" s="6" t="n">
        <v>50.6</v>
      </c>
    </row>
    <row collapsed="false" customFormat="false" customHeight="false" hidden="false" ht="12.1" outlineLevel="0" r="100">
      <c r="A100" s="39" t="n">
        <v>45538</v>
      </c>
      <c r="B100" s="16" t="s">
        <v>887</v>
      </c>
      <c r="C100" s="16" t="s">
        <v>207</v>
      </c>
      <c r="D100" s="16" t="s">
        <v>208</v>
      </c>
      <c r="E100" s="6" t="n">
        <v>1000</v>
      </c>
      <c r="F100" s="7" t="n">
        <v>5</v>
      </c>
      <c r="G100" s="6" t="n">
        <v>46.12</v>
      </c>
      <c r="H100" s="6" t="n">
        <v>30</v>
      </c>
      <c r="I100" s="6" t="n">
        <v>230.6</v>
      </c>
      <c r="J100" s="6" t="n">
        <v>200.6</v>
      </c>
    </row>
    <row collapsed="false" customFormat="false" customHeight="false" hidden="false" ht="12.1" outlineLevel="0" r="101">
      <c r="A101" s="39" t="n">
        <v>45541</v>
      </c>
      <c r="B101" s="16" t="s">
        <v>887</v>
      </c>
      <c r="C101" s="16" t="s">
        <v>240</v>
      </c>
      <c r="D101" s="16" t="s">
        <v>241</v>
      </c>
      <c r="E101" s="6" t="n">
        <v>1000</v>
      </c>
      <c r="F101" s="7" t="n">
        <v>2</v>
      </c>
      <c r="G101" s="6" t="n">
        <v>10.68</v>
      </c>
      <c r="H101" s="6" t="n">
        <v>3</v>
      </c>
      <c r="I101" s="6" t="n">
        <v>21.36</v>
      </c>
      <c r="J101" s="6" t="n">
        <v>18.36</v>
      </c>
    </row>
    <row collapsed="false" customFormat="false" customHeight="false" hidden="false" ht="12.1" outlineLevel="0" r="102">
      <c r="A102" s="39" t="n">
        <v>45544</v>
      </c>
      <c r="B102" s="16" t="s">
        <v>887</v>
      </c>
      <c r="C102" s="16" t="s">
        <v>602</v>
      </c>
      <c r="D102" s="16" t="s">
        <v>894</v>
      </c>
      <c r="E102" s="6" t="n">
        <v>1000</v>
      </c>
      <c r="F102" s="7" t="n">
        <v>3</v>
      </c>
      <c r="G102" s="6" t="n">
        <v>13.36</v>
      </c>
      <c r="H102" s="6" t="n">
        <v>5</v>
      </c>
      <c r="I102" s="6" t="n">
        <v>40.08</v>
      </c>
      <c r="J102" s="6" t="n">
        <v>35.08</v>
      </c>
    </row>
    <row collapsed="false" customFormat="false" customHeight="false" hidden="false" ht="12.1" outlineLevel="0" r="103">
      <c r="A103" s="39" t="n">
        <v>45545</v>
      </c>
      <c r="B103" s="16" t="s">
        <v>887</v>
      </c>
      <c r="C103" s="16" t="s">
        <v>234</v>
      </c>
      <c r="D103" s="16" t="s">
        <v>235</v>
      </c>
      <c r="E103" s="6" t="n">
        <v>656.19</v>
      </c>
      <c r="F103" s="7" t="n">
        <v>1</v>
      </c>
      <c r="G103" s="6" t="n">
        <v>28.63</v>
      </c>
      <c r="H103" s="6" t="n">
        <v>4</v>
      </c>
      <c r="I103" s="6" t="n">
        <v>28.63</v>
      </c>
      <c r="J103" s="6" t="n">
        <v>24.63</v>
      </c>
    </row>
    <row collapsed="false" customFormat="false" customHeight="false" hidden="false" ht="12.1" outlineLevel="0" r="104">
      <c r="A104" s="39" t="n">
        <v>45545</v>
      </c>
      <c r="B104" s="16" t="s">
        <v>887</v>
      </c>
      <c r="C104" s="16" t="s">
        <v>213</v>
      </c>
      <c r="D104" s="16" t="s">
        <v>214</v>
      </c>
      <c r="E104" s="6" t="n">
        <v>1000</v>
      </c>
      <c r="F104" s="7" t="n">
        <v>10</v>
      </c>
      <c r="G104" s="6" t="n">
        <v>13.15</v>
      </c>
      <c r="H104" s="6" t="n">
        <v>17</v>
      </c>
      <c r="I104" s="6" t="n">
        <v>131.5</v>
      </c>
      <c r="J104" s="6" t="n">
        <v>114.5</v>
      </c>
    </row>
    <row collapsed="false" customFormat="false" customHeight="false" hidden="false" ht="12.1" outlineLevel="0" r="105">
      <c r="A105" s="39" t="n">
        <v>45546</v>
      </c>
      <c r="B105" s="16" t="s">
        <v>887</v>
      </c>
      <c r="C105" s="16" t="s">
        <v>606</v>
      </c>
      <c r="D105" s="16" t="s">
        <v>897</v>
      </c>
      <c r="E105" s="6" t="n">
        <v>1000</v>
      </c>
      <c r="F105" s="7" t="n">
        <v>3</v>
      </c>
      <c r="G105" s="6" t="n">
        <v>39.36</v>
      </c>
      <c r="H105" s="6" t="n">
        <v>15</v>
      </c>
      <c r="I105" s="6" t="n">
        <v>118.08</v>
      </c>
      <c r="J105" s="6" t="n">
        <v>103.08</v>
      </c>
    </row>
    <row collapsed="false" customFormat="false" customHeight="false" hidden="false" ht="12.1" outlineLevel="0" r="106">
      <c r="A106" s="39" t="n">
        <v>45547</v>
      </c>
      <c r="B106" s="16" t="s">
        <v>887</v>
      </c>
      <c r="C106" s="16" t="s">
        <v>171</v>
      </c>
      <c r="D106" s="16" t="s">
        <v>172</v>
      </c>
      <c r="E106" s="6" t="n">
        <v>1000</v>
      </c>
      <c r="F106" s="7" t="n">
        <v>20</v>
      </c>
      <c r="G106" s="6" t="n">
        <v>17.83</v>
      </c>
      <c r="H106" s="6" t="n">
        <v>46</v>
      </c>
      <c r="I106" s="6" t="n">
        <v>356.6</v>
      </c>
      <c r="J106" s="6" t="n">
        <v>310.6</v>
      </c>
    </row>
    <row collapsed="false" customFormat="false" customHeight="false" hidden="false" ht="12.1" outlineLevel="0" r="107">
      <c r="A107" s="39" t="n">
        <v>45552</v>
      </c>
      <c r="B107" s="16" t="s">
        <v>887</v>
      </c>
      <c r="C107" s="16" t="s">
        <v>174</v>
      </c>
      <c r="D107" s="16" t="s">
        <v>175</v>
      </c>
      <c r="E107" s="6" t="n">
        <v>1000</v>
      </c>
      <c r="F107" s="7" t="n">
        <v>15</v>
      </c>
      <c r="G107" s="6" t="n">
        <v>38.64</v>
      </c>
      <c r="H107" s="6" t="n">
        <v>75</v>
      </c>
      <c r="I107" s="6" t="n">
        <v>579.6</v>
      </c>
      <c r="J107" s="6" t="n">
        <v>504.6</v>
      </c>
    </row>
    <row collapsed="false" customFormat="false" customHeight="false" hidden="false" ht="12.1" outlineLevel="0" r="108">
      <c r="A108" s="39" t="n">
        <v>45552</v>
      </c>
      <c r="B108" s="16" t="s">
        <v>887</v>
      </c>
      <c r="C108" s="16" t="s">
        <v>156</v>
      </c>
      <c r="D108" s="16" t="s">
        <v>157</v>
      </c>
      <c r="E108" s="6" t="n">
        <v>1000</v>
      </c>
      <c r="F108" s="7" t="n">
        <v>34</v>
      </c>
      <c r="G108" s="6" t="n">
        <v>33.41</v>
      </c>
      <c r="H108" s="6" t="n">
        <v>148</v>
      </c>
      <c r="I108" s="6" t="n">
        <v>1135.94</v>
      </c>
      <c r="J108" s="6" t="n">
        <v>987.94</v>
      </c>
    </row>
    <row collapsed="false" customFormat="false" customHeight="false" hidden="false" ht="12.1" outlineLevel="0" r="109">
      <c r="A109" s="39" t="n">
        <v>45558</v>
      </c>
      <c r="B109" s="16" t="s">
        <v>887</v>
      </c>
      <c r="C109" s="16" t="s">
        <v>603</v>
      </c>
      <c r="D109" s="16" t="s">
        <v>898</v>
      </c>
      <c r="E109" s="6" t="n">
        <v>1000</v>
      </c>
      <c r="F109" s="7" t="n">
        <v>2</v>
      </c>
      <c r="G109" s="6" t="n">
        <v>31.66</v>
      </c>
      <c r="H109" s="6" t="n">
        <v>8</v>
      </c>
      <c r="I109" s="6" t="n">
        <v>63.32</v>
      </c>
      <c r="J109" s="6" t="n">
        <v>55.32</v>
      </c>
    </row>
    <row collapsed="false" customFormat="false" customHeight="false" hidden="false" ht="12.1" outlineLevel="0" r="110">
      <c r="A110" s="39" t="n">
        <v>45559</v>
      </c>
      <c r="B110" s="16" t="s">
        <v>887</v>
      </c>
      <c r="C110" s="16" t="s">
        <v>607</v>
      </c>
      <c r="D110" s="16" t="s">
        <v>899</v>
      </c>
      <c r="E110" s="6" t="n">
        <v>1000</v>
      </c>
      <c r="F110" s="7" t="n">
        <v>2</v>
      </c>
      <c r="G110" s="6" t="n">
        <v>54.35</v>
      </c>
      <c r="H110" s="6" t="n">
        <v>14</v>
      </c>
      <c r="I110" s="6" t="n">
        <v>108.7</v>
      </c>
      <c r="J110" s="6" t="n">
        <v>94.7</v>
      </c>
    </row>
    <row collapsed="false" customFormat="false" customHeight="false" hidden="false" ht="12.1" outlineLevel="0" r="111">
      <c r="A111" s="39" t="n">
        <v>45559</v>
      </c>
      <c r="B111" s="16" t="s">
        <v>887</v>
      </c>
      <c r="C111" s="16" t="s">
        <v>144</v>
      </c>
      <c r="D111" s="16" t="s">
        <v>145</v>
      </c>
      <c r="E111" s="6" t="n">
        <v>1000</v>
      </c>
      <c r="F111" s="7" t="n">
        <v>40</v>
      </c>
      <c r="G111" s="6" t="n">
        <v>56.1</v>
      </c>
      <c r="H111" s="6" t="n">
        <v>292</v>
      </c>
      <c r="I111" s="6" t="n">
        <v>2244</v>
      </c>
      <c r="J111" s="6" t="n">
        <v>1952</v>
      </c>
    </row>
    <row collapsed="false" customFormat="false" customHeight="false" hidden="false" ht="12.1" outlineLevel="0" r="112">
      <c r="A112" s="39" t="n">
        <v>45559</v>
      </c>
      <c r="B112" s="16" t="s">
        <v>887</v>
      </c>
      <c r="C112" s="16" t="s">
        <v>153</v>
      </c>
      <c r="D112" s="16" t="s">
        <v>154</v>
      </c>
      <c r="E112" s="6" t="n">
        <v>1000</v>
      </c>
      <c r="F112" s="7" t="n">
        <v>20</v>
      </c>
      <c r="G112" s="6" t="n">
        <v>43.73</v>
      </c>
      <c r="H112" s="6" t="n">
        <v>114</v>
      </c>
      <c r="I112" s="6" t="n">
        <v>874.6</v>
      </c>
      <c r="J112" s="6" t="n">
        <v>760.6</v>
      </c>
    </row>
    <row collapsed="false" customFormat="false" customHeight="false" hidden="false" ht="12.1" outlineLevel="0" r="113">
      <c r="A113" s="39" t="n">
        <v>45559</v>
      </c>
      <c r="B113" s="16" t="s">
        <v>887</v>
      </c>
      <c r="C113" s="16" t="s">
        <v>147</v>
      </c>
      <c r="D113" s="16" t="s">
        <v>148</v>
      </c>
      <c r="E113" s="6" t="n">
        <v>1000</v>
      </c>
      <c r="F113" s="7" t="n">
        <v>8</v>
      </c>
      <c r="G113" s="6" t="n">
        <v>11.18</v>
      </c>
      <c r="H113" s="6" t="n">
        <v>12</v>
      </c>
      <c r="I113" s="6" t="n">
        <v>89.44</v>
      </c>
      <c r="J113" s="6" t="n">
        <v>77.44</v>
      </c>
    </row>
    <row collapsed="false" customFormat="false" customHeight="false" hidden="false" ht="12.1" outlineLevel="0" r="114">
      <c r="A114" s="39" t="n">
        <v>45565</v>
      </c>
      <c r="B114" s="16" t="s">
        <v>887</v>
      </c>
      <c r="C114" s="16" t="s">
        <v>228</v>
      </c>
      <c r="D114" s="16" t="s">
        <v>229</v>
      </c>
      <c r="E114" s="6" t="n">
        <v>836.53</v>
      </c>
      <c r="F114" s="7" t="n">
        <v>7</v>
      </c>
      <c r="G114" s="6" t="n">
        <v>5.5</v>
      </c>
      <c r="H114" s="6" t="n">
        <v>5</v>
      </c>
      <c r="I114" s="6" t="n">
        <v>38.5</v>
      </c>
      <c r="J114" s="6" t="n">
        <v>33.5</v>
      </c>
    </row>
    <row collapsed="false" customFormat="false" customHeight="false" hidden="false" ht="12.1" outlineLevel="0" r="115">
      <c r="A115" s="39" t="n">
        <v>45566</v>
      </c>
      <c r="B115" s="16" t="s">
        <v>887</v>
      </c>
      <c r="C115" s="16" t="s">
        <v>237</v>
      </c>
      <c r="D115" s="16" t="s">
        <v>238</v>
      </c>
      <c r="E115" s="6" t="n">
        <v>571.13</v>
      </c>
      <c r="F115" s="7" t="n">
        <v>10</v>
      </c>
      <c r="G115" s="6" t="n">
        <v>5.16</v>
      </c>
      <c r="H115" s="6" t="n">
        <v>7</v>
      </c>
      <c r="I115" s="6" t="n">
        <v>51.6</v>
      </c>
      <c r="J115" s="6" t="n">
        <v>44.6</v>
      </c>
    </row>
    <row collapsed="false" customFormat="false" customHeight="false" hidden="false" ht="12.1" outlineLevel="0" r="116">
      <c r="A116" s="39" t="n">
        <v>45566</v>
      </c>
      <c r="B116" s="16" t="s">
        <v>887</v>
      </c>
      <c r="C116" s="16" t="s">
        <v>177</v>
      </c>
      <c r="D116" s="16" t="s">
        <v>178</v>
      </c>
      <c r="E116" s="6" t="n">
        <v>1000</v>
      </c>
      <c r="F116" s="7" t="n">
        <v>7</v>
      </c>
      <c r="G116" s="6" t="n">
        <v>11.26</v>
      </c>
      <c r="H116" s="6" t="n">
        <v>10</v>
      </c>
      <c r="I116" s="6" t="n">
        <v>78.82</v>
      </c>
      <c r="J116" s="6" t="n">
        <v>68.82</v>
      </c>
    </row>
    <row collapsed="false" customFormat="false" customHeight="false" hidden="false" ht="12.1" outlineLevel="0" r="117">
      <c r="A117" s="39" t="n">
        <v>45566</v>
      </c>
      <c r="B117" s="16" t="s">
        <v>887</v>
      </c>
      <c r="C117" s="16" t="s">
        <v>150</v>
      </c>
      <c r="D117" s="16" t="s">
        <v>151</v>
      </c>
      <c r="E117" s="6" t="n">
        <v>1000</v>
      </c>
      <c r="F117" s="7" t="n">
        <v>45</v>
      </c>
      <c r="G117" s="6" t="n">
        <v>38.39</v>
      </c>
      <c r="H117" s="6" t="n">
        <v>225</v>
      </c>
      <c r="I117" s="6" t="n">
        <v>1727.55</v>
      </c>
      <c r="J117" s="6" t="n">
        <v>1502.55</v>
      </c>
    </row>
    <row collapsed="false" customFormat="false" customHeight="false" hidden="false" ht="12.1" outlineLevel="0" r="118">
      <c r="A118" s="39" t="n">
        <v>45567</v>
      </c>
      <c r="B118" s="16" t="s">
        <v>887</v>
      </c>
      <c r="C118" s="16" t="s">
        <v>210</v>
      </c>
      <c r="D118" s="16" t="s">
        <v>211</v>
      </c>
      <c r="E118" s="6" t="n">
        <v>1000</v>
      </c>
      <c r="F118" s="7" t="n">
        <v>4</v>
      </c>
      <c r="G118" s="6" t="n">
        <v>29.42</v>
      </c>
      <c r="H118" s="6" t="n">
        <v>15</v>
      </c>
      <c r="I118" s="6" t="n">
        <v>117.68</v>
      </c>
      <c r="J118" s="6" t="n">
        <v>102.68</v>
      </c>
    </row>
    <row collapsed="false" customFormat="false" customHeight="false" hidden="false" ht="12.1" outlineLevel="0" r="119">
      <c r="A119" s="39" t="n">
        <v>45571</v>
      </c>
      <c r="B119" s="16" t="s">
        <v>887</v>
      </c>
      <c r="C119" s="16" t="s">
        <v>240</v>
      </c>
      <c r="D119" s="16" t="s">
        <v>241</v>
      </c>
      <c r="E119" s="6" t="n">
        <v>1000</v>
      </c>
      <c r="F119" s="7" t="n">
        <v>2</v>
      </c>
      <c r="G119" s="6" t="n">
        <v>10.68</v>
      </c>
      <c r="H119" s="6" t="n">
        <v>3</v>
      </c>
      <c r="I119" s="6" t="n">
        <v>21.36</v>
      </c>
      <c r="J119" s="6" t="n">
        <v>18.36</v>
      </c>
    </row>
    <row collapsed="false" customFormat="false" customHeight="false" hidden="false" ht="12.1" outlineLevel="0" r="120">
      <c r="A120" s="39" t="n">
        <v>45572</v>
      </c>
      <c r="B120" s="16" t="s">
        <v>887</v>
      </c>
      <c r="C120" s="16" t="s">
        <v>605</v>
      </c>
      <c r="D120" s="16" t="s">
        <v>893</v>
      </c>
      <c r="E120" s="6" t="n">
        <v>1000</v>
      </c>
      <c r="F120" s="7" t="n">
        <v>2</v>
      </c>
      <c r="G120" s="6" t="n">
        <v>44.88</v>
      </c>
      <c r="H120" s="6" t="n">
        <v>12</v>
      </c>
      <c r="I120" s="6" t="n">
        <v>89.76</v>
      </c>
      <c r="J120" s="6" t="n">
        <v>77.76</v>
      </c>
    </row>
    <row collapsed="false" customFormat="false" customHeight="false" hidden="false" ht="12.1" outlineLevel="0" r="121">
      <c r="A121" s="39" t="n">
        <v>45574</v>
      </c>
      <c r="B121" s="16" t="s">
        <v>887</v>
      </c>
      <c r="C121" s="16" t="s">
        <v>602</v>
      </c>
      <c r="D121" s="16" t="s">
        <v>894</v>
      </c>
      <c r="E121" s="6" t="n">
        <v>1000</v>
      </c>
      <c r="F121" s="7" t="n">
        <v>3</v>
      </c>
      <c r="G121" s="6" t="n">
        <v>13.36</v>
      </c>
      <c r="H121" s="6" t="n">
        <v>5</v>
      </c>
      <c r="I121" s="6" t="n">
        <v>40.08</v>
      </c>
      <c r="J121" s="6" t="n">
        <v>35.08</v>
      </c>
    </row>
    <row collapsed="false" customFormat="false" customHeight="false" hidden="false" ht="12.1" outlineLevel="0" r="122">
      <c r="A122" s="39" t="n">
        <v>45575</v>
      </c>
      <c r="B122" s="16" t="s">
        <v>887</v>
      </c>
      <c r="C122" s="16" t="s">
        <v>213</v>
      </c>
      <c r="D122" s="16" t="s">
        <v>214</v>
      </c>
      <c r="E122" s="6" t="n">
        <v>1000</v>
      </c>
      <c r="F122" s="7" t="n">
        <v>10</v>
      </c>
      <c r="G122" s="6" t="n">
        <v>13.15</v>
      </c>
      <c r="H122" s="6" t="n">
        <v>17</v>
      </c>
      <c r="I122" s="6" t="n">
        <v>131.5</v>
      </c>
      <c r="J122" s="6" t="n">
        <v>114.5</v>
      </c>
    </row>
    <row collapsed="false" customFormat="false" customHeight="false" hidden="false" ht="12.1" outlineLevel="0" r="123">
      <c r="A123" s="39" t="n">
        <v>45588</v>
      </c>
      <c r="B123" s="16" t="s">
        <v>887</v>
      </c>
      <c r="C123" s="16" t="s">
        <v>180</v>
      </c>
      <c r="D123" s="16" t="s">
        <v>181</v>
      </c>
      <c r="E123" s="6" t="n">
        <v>1000</v>
      </c>
      <c r="F123" s="7" t="n">
        <v>12</v>
      </c>
      <c r="G123" s="6" t="n">
        <v>16.83</v>
      </c>
      <c r="H123" s="6" t="n">
        <v>26</v>
      </c>
      <c r="I123" s="6" t="n">
        <v>201.96</v>
      </c>
      <c r="J123" s="6" t="n">
        <v>175.96</v>
      </c>
    </row>
    <row collapsed="false" customFormat="false" customHeight="false" hidden="false" ht="12.1" outlineLevel="0" r="124">
      <c r="A124" s="39" t="n">
        <v>45588</v>
      </c>
      <c r="B124" s="16" t="s">
        <v>887</v>
      </c>
      <c r="C124" s="16" t="s">
        <v>604</v>
      </c>
      <c r="D124" s="16" t="s">
        <v>895</v>
      </c>
      <c r="E124" s="6" t="n">
        <v>1000</v>
      </c>
      <c r="F124" s="7" t="n">
        <v>4</v>
      </c>
      <c r="G124" s="6" t="n">
        <v>44.88</v>
      </c>
      <c r="H124" s="6" t="n">
        <v>23</v>
      </c>
      <c r="I124" s="6" t="n">
        <v>179.52</v>
      </c>
      <c r="J124" s="6" t="n">
        <v>156.52</v>
      </c>
    </row>
    <row collapsed="false" customFormat="false" customHeight="false" hidden="false" ht="12.1" outlineLevel="0" r="125">
      <c r="A125" s="39" t="n">
        <v>45589</v>
      </c>
      <c r="B125" s="16" t="s">
        <v>887</v>
      </c>
      <c r="C125" s="16" t="s">
        <v>147</v>
      </c>
      <c r="D125" s="16" t="s">
        <v>148</v>
      </c>
      <c r="E125" s="6" t="n">
        <v>1000</v>
      </c>
      <c r="F125" s="7" t="n">
        <v>8</v>
      </c>
      <c r="G125" s="6" t="n">
        <v>11.18</v>
      </c>
      <c r="H125" s="6" t="n">
        <v>12</v>
      </c>
      <c r="I125" s="6" t="n">
        <v>89.44</v>
      </c>
      <c r="J125" s="6" t="n">
        <v>77.44</v>
      </c>
    </row>
    <row collapsed="false" customFormat="false" customHeight="false" hidden="false" ht="12.1" outlineLevel="0" r="126">
      <c r="A126" s="39" t="n">
        <v>45596</v>
      </c>
      <c r="B126" s="16" t="s">
        <v>887</v>
      </c>
      <c r="C126" s="16" t="s">
        <v>177</v>
      </c>
      <c r="D126" s="16" t="s">
        <v>178</v>
      </c>
      <c r="E126" s="6" t="n">
        <v>1000</v>
      </c>
      <c r="F126" s="7" t="n">
        <v>7</v>
      </c>
      <c r="G126" s="6" t="n">
        <v>11.26</v>
      </c>
      <c r="H126" s="6" t="n">
        <v>10</v>
      </c>
      <c r="I126" s="6" t="n">
        <v>78.82</v>
      </c>
      <c r="J126" s="6" t="n">
        <v>68.82</v>
      </c>
    </row>
    <row collapsed="false" customFormat="false" customHeight="false" hidden="false" ht="12.1" outlineLevel="0" r="127">
      <c r="A127" s="39" t="n">
        <v>45596</v>
      </c>
      <c r="B127" s="16" t="s">
        <v>887</v>
      </c>
      <c r="C127" s="16" t="s">
        <v>228</v>
      </c>
      <c r="D127" s="16" t="s">
        <v>229</v>
      </c>
      <c r="E127" s="6" t="n">
        <v>788.04</v>
      </c>
      <c r="F127" s="7" t="n">
        <v>7</v>
      </c>
      <c r="G127" s="6" t="n">
        <v>5.35</v>
      </c>
      <c r="H127" s="6" t="n">
        <v>5</v>
      </c>
      <c r="I127" s="6" t="n">
        <v>37.45</v>
      </c>
      <c r="J127" s="6" t="n">
        <v>32.45</v>
      </c>
    </row>
    <row collapsed="false" customFormat="false" customHeight="false" hidden="false" ht="12.1" outlineLevel="0" r="128">
      <c r="A128" s="39" t="n">
        <v>45597</v>
      </c>
      <c r="B128" s="16" t="s">
        <v>887</v>
      </c>
      <c r="C128" s="16" t="s">
        <v>237</v>
      </c>
      <c r="D128" s="16" t="s">
        <v>238</v>
      </c>
      <c r="E128" s="6" t="n">
        <v>532.06</v>
      </c>
      <c r="F128" s="7" t="n">
        <v>10</v>
      </c>
      <c r="G128" s="6" t="n">
        <v>4.97</v>
      </c>
      <c r="H128" s="6" t="n">
        <v>6</v>
      </c>
      <c r="I128" s="6" t="n">
        <v>49.7</v>
      </c>
      <c r="J128" s="6" t="n">
        <v>43.7</v>
      </c>
    </row>
    <row collapsed="false" customFormat="false" customHeight="false" hidden="false" ht="12.1" outlineLevel="0" r="129">
      <c r="A129" s="39" t="n">
        <v>45601</v>
      </c>
      <c r="B129" s="16" t="s">
        <v>887</v>
      </c>
      <c r="C129" s="16" t="s">
        <v>240</v>
      </c>
      <c r="D129" s="16" t="s">
        <v>241</v>
      </c>
      <c r="E129" s="6" t="n">
        <v>1000</v>
      </c>
      <c r="F129" s="7" t="n">
        <v>2</v>
      </c>
      <c r="G129" s="6" t="n">
        <v>10.68</v>
      </c>
      <c r="H129" s="6" t="n">
        <v>3</v>
      </c>
      <c r="I129" s="6" t="n">
        <v>21.36</v>
      </c>
      <c r="J129" s="6" t="n">
        <v>18.36</v>
      </c>
    </row>
    <row collapsed="false" customFormat="false" customHeight="false" hidden="false" ht="12.1" outlineLevel="0" r="130">
      <c r="A130" s="39" t="n">
        <v>45604</v>
      </c>
      <c r="B130" s="16" t="s">
        <v>887</v>
      </c>
      <c r="C130" s="16" t="s">
        <v>602</v>
      </c>
      <c r="D130" s="16" t="s">
        <v>894</v>
      </c>
      <c r="E130" s="6" t="n">
        <v>1000</v>
      </c>
      <c r="F130" s="7" t="n">
        <v>3</v>
      </c>
      <c r="G130" s="6" t="n">
        <v>13.36</v>
      </c>
      <c r="H130" s="6" t="n">
        <v>5</v>
      </c>
      <c r="I130" s="6" t="n">
        <v>40.08</v>
      </c>
      <c r="J130" s="6" t="n">
        <v>35.08</v>
      </c>
    </row>
    <row collapsed="false" customFormat="false" customHeight="false" hidden="false" ht="12.1" outlineLevel="0" r="131">
      <c r="A131" s="39" t="n">
        <v>45605</v>
      </c>
      <c r="B131" s="16" t="s">
        <v>887</v>
      </c>
      <c r="C131" s="16" t="s">
        <v>213</v>
      </c>
      <c r="D131" s="16" t="s">
        <v>214</v>
      </c>
      <c r="E131" s="6" t="n">
        <v>1000</v>
      </c>
      <c r="F131" s="7" t="n">
        <v>10</v>
      </c>
      <c r="G131" s="6" t="n">
        <v>13.15</v>
      </c>
      <c r="H131" s="6" t="n">
        <v>17</v>
      </c>
      <c r="I131" s="6" t="n">
        <v>131.5</v>
      </c>
      <c r="J131" s="6" t="n">
        <v>114.5</v>
      </c>
    </row>
    <row collapsed="false" customFormat="false" customHeight="false" hidden="false" ht="12.1" outlineLevel="0" r="132">
      <c r="A132" s="39" t="n">
        <v>45608</v>
      </c>
      <c r="B132" s="16" t="s">
        <v>887</v>
      </c>
      <c r="C132" s="16" t="s">
        <v>609</v>
      </c>
      <c r="D132" s="16" t="s">
        <v>900</v>
      </c>
      <c r="E132" s="6" t="n">
        <v>1000</v>
      </c>
      <c r="F132" s="7" t="n">
        <v>10</v>
      </c>
      <c r="G132" s="6" t="n">
        <v>35.65</v>
      </c>
      <c r="H132" s="6" t="n">
        <v>46</v>
      </c>
      <c r="I132" s="6" t="n">
        <v>356.5</v>
      </c>
      <c r="J132" s="6" t="n">
        <v>310.5</v>
      </c>
    </row>
    <row collapsed="false" customFormat="false" customHeight="false" hidden="false" ht="12.1" outlineLevel="0" r="133">
      <c r="A133" s="39" t="n">
        <v>45609</v>
      </c>
      <c r="B133" s="16" t="s">
        <v>887</v>
      </c>
      <c r="C133" s="16" t="s">
        <v>219</v>
      </c>
      <c r="D133" s="16" t="s">
        <v>220</v>
      </c>
      <c r="E133" s="6" t="n">
        <v>1000</v>
      </c>
      <c r="F133" s="7" t="n">
        <v>5</v>
      </c>
      <c r="G133" s="6" t="n">
        <v>39.89</v>
      </c>
      <c r="H133" s="6" t="n">
        <v>26</v>
      </c>
      <c r="I133" s="6" t="n">
        <v>199.45</v>
      </c>
      <c r="J133" s="6" t="n">
        <v>173.45</v>
      </c>
    </row>
    <row collapsed="false" customFormat="false" customHeight="false" hidden="false" ht="12.1" outlineLevel="0" r="134">
      <c r="A134" s="39" t="n">
        <v>45614</v>
      </c>
      <c r="B134" s="16" t="s">
        <v>887</v>
      </c>
      <c r="C134" s="16" t="s">
        <v>225</v>
      </c>
      <c r="D134" s="16" t="s">
        <v>226</v>
      </c>
      <c r="E134" s="6" t="n">
        <v>1000</v>
      </c>
      <c r="F134" s="7" t="n">
        <v>2</v>
      </c>
      <c r="G134" s="6" t="n">
        <v>73.64</v>
      </c>
      <c r="H134" s="6" t="n">
        <v>19</v>
      </c>
      <c r="I134" s="6" t="n">
        <v>147.28</v>
      </c>
      <c r="J134" s="6" t="n">
        <v>128.28</v>
      </c>
    </row>
    <row collapsed="false" customFormat="false" customHeight="false" hidden="false" ht="12.1" outlineLevel="0" r="135">
      <c r="A135" s="39" t="n">
        <v>45614</v>
      </c>
      <c r="B135" s="16" t="s">
        <v>887</v>
      </c>
      <c r="C135" s="16" t="s">
        <v>608</v>
      </c>
      <c r="D135" s="16" t="s">
        <v>896</v>
      </c>
      <c r="E135" s="6" t="n">
        <v>1000</v>
      </c>
      <c r="F135" s="7" t="n">
        <v>2</v>
      </c>
      <c r="G135" s="6" t="n">
        <v>47.37</v>
      </c>
      <c r="H135" s="6" t="n">
        <v>12</v>
      </c>
      <c r="I135" s="6" t="n">
        <v>94.74</v>
      </c>
      <c r="J135" s="6" t="n">
        <v>82.74</v>
      </c>
    </row>
    <row collapsed="false" customFormat="false" customHeight="false" hidden="false" ht="12.1" outlineLevel="0" r="136">
      <c r="A136" s="39" t="n">
        <v>45615</v>
      </c>
      <c r="B136" s="16" t="s">
        <v>887</v>
      </c>
      <c r="C136" s="16" t="s">
        <v>192</v>
      </c>
      <c r="D136" s="16" t="s">
        <v>193</v>
      </c>
      <c r="E136" s="6" t="n">
        <v>1000</v>
      </c>
      <c r="F136" s="7" t="n">
        <v>5</v>
      </c>
      <c r="G136" s="6" t="n">
        <v>34.16</v>
      </c>
      <c r="H136" s="6" t="n">
        <v>22</v>
      </c>
      <c r="I136" s="6" t="n">
        <v>170.8</v>
      </c>
      <c r="J136" s="6" t="n">
        <v>148.8</v>
      </c>
    </row>
    <row collapsed="false" customFormat="false" customHeight="false" hidden="false" ht="12.1" outlineLevel="0" r="137">
      <c r="A137" s="39" t="n">
        <v>45615</v>
      </c>
      <c r="B137" s="16" t="s">
        <v>887</v>
      </c>
      <c r="C137" s="16" t="s">
        <v>186</v>
      </c>
      <c r="D137" s="16" t="s">
        <v>187</v>
      </c>
      <c r="E137" s="6" t="n">
        <v>1000</v>
      </c>
      <c r="F137" s="7" t="n">
        <v>10</v>
      </c>
      <c r="G137" s="6" t="n">
        <v>28.42</v>
      </c>
      <c r="H137" s="6" t="n">
        <v>37</v>
      </c>
      <c r="I137" s="6" t="n">
        <v>284.2</v>
      </c>
      <c r="J137" s="6" t="n">
        <v>247.2</v>
      </c>
    </row>
    <row collapsed="false" customFormat="false" customHeight="false" hidden="false" ht="12.1" outlineLevel="0" r="138">
      <c r="A138" s="39" t="n">
        <v>45615</v>
      </c>
      <c r="B138" s="16" t="s">
        <v>887</v>
      </c>
      <c r="C138" s="16" t="s">
        <v>162</v>
      </c>
      <c r="D138" s="16" t="s">
        <v>163</v>
      </c>
      <c r="E138" s="6" t="n">
        <v>1000</v>
      </c>
      <c r="F138" s="7" t="n">
        <v>19</v>
      </c>
      <c r="G138" s="6" t="n">
        <v>32.16</v>
      </c>
      <c r="H138" s="6" t="n">
        <v>79</v>
      </c>
      <c r="I138" s="6" t="n">
        <v>611.04</v>
      </c>
      <c r="J138" s="6" t="n">
        <v>532.04</v>
      </c>
    </row>
    <row collapsed="false" customFormat="false" customHeight="false" hidden="false" ht="12.1" outlineLevel="0" r="139">
      <c r="A139" s="39" t="n">
        <v>45619</v>
      </c>
      <c r="B139" s="16" t="s">
        <v>887</v>
      </c>
      <c r="C139" s="16" t="s">
        <v>147</v>
      </c>
      <c r="D139" s="16" t="s">
        <v>148</v>
      </c>
      <c r="E139" s="6" t="n">
        <v>1000</v>
      </c>
      <c r="F139" s="7" t="n">
        <v>8</v>
      </c>
      <c r="G139" s="6" t="n">
        <v>11.18</v>
      </c>
      <c r="H139" s="6" t="n">
        <v>12</v>
      </c>
      <c r="I139" s="6" t="n">
        <v>89.44</v>
      </c>
      <c r="J139" s="6" t="n">
        <v>77.44</v>
      </c>
    </row>
    <row collapsed="false" customFormat="false" customHeight="false" hidden="false" ht="12.1" outlineLevel="0" r="140">
      <c r="A140" s="39" t="n">
        <v>45620</v>
      </c>
      <c r="B140" s="16" t="s">
        <v>887</v>
      </c>
      <c r="C140" s="16" t="s">
        <v>198</v>
      </c>
      <c r="D140" s="16" t="s">
        <v>199</v>
      </c>
      <c r="E140" s="6" t="n">
        <v>1000</v>
      </c>
      <c r="F140" s="7" t="n">
        <v>5</v>
      </c>
      <c r="G140" s="6" t="n">
        <v>18.32</v>
      </c>
      <c r="H140" s="6" t="n">
        <v>12</v>
      </c>
      <c r="I140" s="6" t="n">
        <v>91.6</v>
      </c>
      <c r="J140" s="6" t="n">
        <v>79.6</v>
      </c>
    </row>
    <row collapsed="false" customFormat="false" customHeight="false" hidden="false" ht="12.1" outlineLevel="0" r="141">
      <c r="A141" s="39" t="n">
        <v>45622</v>
      </c>
      <c r="B141" s="16" t="s">
        <v>887</v>
      </c>
      <c r="C141" s="16" t="s">
        <v>159</v>
      </c>
      <c r="D141" s="16" t="s">
        <v>160</v>
      </c>
      <c r="E141" s="6" t="n">
        <v>1000</v>
      </c>
      <c r="F141" s="7" t="n">
        <v>34</v>
      </c>
      <c r="G141" s="6" t="n">
        <v>47.37</v>
      </c>
      <c r="H141" s="6" t="n">
        <v>209</v>
      </c>
      <c r="I141" s="6" t="n">
        <v>1610.58</v>
      </c>
      <c r="J141" s="6" t="n">
        <v>1401.58</v>
      </c>
    </row>
    <row collapsed="false" customFormat="false" customHeight="false" hidden="false" ht="12.1" outlineLevel="0" r="142">
      <c r="A142" s="39" t="n">
        <v>45622</v>
      </c>
      <c r="B142" s="16" t="s">
        <v>887</v>
      </c>
      <c r="C142" s="16" t="s">
        <v>168</v>
      </c>
      <c r="D142" s="16" t="s">
        <v>169</v>
      </c>
      <c r="E142" s="6" t="n">
        <v>1000</v>
      </c>
      <c r="F142" s="7" t="n">
        <v>20</v>
      </c>
      <c r="G142" s="6" t="n">
        <v>65.78</v>
      </c>
      <c r="H142" s="6" t="n">
        <v>171</v>
      </c>
      <c r="I142" s="6" t="n">
        <v>1315.6</v>
      </c>
      <c r="J142" s="6" t="n">
        <v>1144.6</v>
      </c>
    </row>
    <row collapsed="false" customFormat="false" customHeight="false" hidden="false" ht="12.1" outlineLevel="0" r="143">
      <c r="A143" s="39" t="n">
        <v>45624</v>
      </c>
      <c r="B143" s="16" t="s">
        <v>887</v>
      </c>
      <c r="C143" s="16" t="s">
        <v>216</v>
      </c>
      <c r="D143" s="16" t="s">
        <v>217</v>
      </c>
      <c r="E143" s="6" t="n">
        <v>1000</v>
      </c>
      <c r="F143" s="7" t="n">
        <v>3</v>
      </c>
      <c r="G143" s="6" t="n">
        <v>24.81</v>
      </c>
      <c r="H143" s="6" t="n">
        <v>10</v>
      </c>
      <c r="I143" s="6" t="n">
        <v>74.43</v>
      </c>
      <c r="J143" s="6" t="n">
        <v>64.43</v>
      </c>
    </row>
    <row collapsed="false" customFormat="false" customHeight="false" hidden="false" ht="12.1" outlineLevel="0" r="144">
      <c r="A144" s="39" t="n">
        <v>45626</v>
      </c>
      <c r="B144" s="16" t="s">
        <v>887</v>
      </c>
      <c r="C144" s="16" t="s">
        <v>228</v>
      </c>
      <c r="D144" s="16" t="s">
        <v>229</v>
      </c>
      <c r="E144" s="6" t="n">
        <v>741.13</v>
      </c>
      <c r="F144" s="7" t="n">
        <v>7</v>
      </c>
      <c r="G144" s="6" t="n">
        <v>4.87</v>
      </c>
      <c r="H144" s="6" t="n">
        <v>4</v>
      </c>
      <c r="I144" s="6" t="n">
        <v>34.09</v>
      </c>
      <c r="J144" s="6" t="n">
        <v>30.09</v>
      </c>
    </row>
    <row collapsed="false" customFormat="false" customHeight="false" hidden="false" ht="12.1" outlineLevel="0" r="145">
      <c r="A145" s="39" t="n">
        <v>45626</v>
      </c>
      <c r="B145" s="16" t="s">
        <v>887</v>
      </c>
      <c r="C145" s="16" t="s">
        <v>177</v>
      </c>
      <c r="D145" s="16" t="s">
        <v>178</v>
      </c>
      <c r="E145" s="6" t="n">
        <v>1000</v>
      </c>
      <c r="F145" s="7" t="n">
        <v>7</v>
      </c>
      <c r="G145" s="6" t="n">
        <v>11.26</v>
      </c>
      <c r="H145" s="6" t="n">
        <v>10</v>
      </c>
      <c r="I145" s="6" t="n">
        <v>78.82</v>
      </c>
      <c r="J145" s="6" t="n">
        <v>68.82</v>
      </c>
    </row>
    <row collapsed="false" customFormat="false" customHeight="false" hidden="false" ht="12.1" outlineLevel="0" r="146">
      <c r="A146" s="39" t="n">
        <v>45627</v>
      </c>
      <c r="B146" s="16" t="s">
        <v>887</v>
      </c>
      <c r="C146" s="16" t="s">
        <v>237</v>
      </c>
      <c r="D146" s="16" t="s">
        <v>238</v>
      </c>
      <c r="E146" s="6" t="n">
        <v>496.03</v>
      </c>
      <c r="F146" s="7" t="n">
        <v>10</v>
      </c>
      <c r="G146" s="6" t="n">
        <v>4.48</v>
      </c>
      <c r="H146" s="6" t="n">
        <v>6</v>
      </c>
      <c r="I146" s="6" t="n">
        <v>44.8</v>
      </c>
      <c r="J146" s="6" t="n">
        <v>38.8</v>
      </c>
    </row>
    <row collapsed="false" customFormat="false" customHeight="false" hidden="false" ht="12.1" outlineLevel="0" r="147">
      <c r="A147" s="39" t="n">
        <v>45628</v>
      </c>
      <c r="B147" s="16" t="s">
        <v>887</v>
      </c>
      <c r="C147" s="16" t="s">
        <v>204</v>
      </c>
      <c r="D147" s="16" t="s">
        <v>205</v>
      </c>
      <c r="E147" s="6" t="n">
        <v>1000</v>
      </c>
      <c r="F147" s="7" t="n">
        <v>5</v>
      </c>
      <c r="G147" s="6" t="n">
        <v>56.1</v>
      </c>
      <c r="H147" s="6" t="n">
        <v>36</v>
      </c>
      <c r="I147" s="6" t="n">
        <v>280.5</v>
      </c>
      <c r="J147" s="6" t="n">
        <v>244.5</v>
      </c>
    </row>
    <row collapsed="false" customFormat="false" customHeight="false" hidden="false" ht="12.1" outlineLevel="0" r="148">
      <c r="A148" s="39" t="n">
        <v>45629</v>
      </c>
      <c r="B148" s="16" t="s">
        <v>887</v>
      </c>
      <c r="C148" s="16" t="s">
        <v>141</v>
      </c>
      <c r="D148" s="16" t="s">
        <v>142</v>
      </c>
      <c r="E148" s="6" t="n">
        <v>1000</v>
      </c>
      <c r="F148" s="7" t="n">
        <v>53</v>
      </c>
      <c r="G148" s="6" t="n">
        <v>48.87</v>
      </c>
      <c r="H148" s="6" t="n">
        <v>337</v>
      </c>
      <c r="I148" s="6" t="n">
        <v>2590.11</v>
      </c>
      <c r="J148" s="6" t="n">
        <v>2253.11</v>
      </c>
    </row>
    <row collapsed="false" customFormat="false" customHeight="false" hidden="false" ht="12.1" outlineLevel="0" r="149">
      <c r="A149" s="39" t="n">
        <v>45629</v>
      </c>
      <c r="B149" s="16" t="s">
        <v>887</v>
      </c>
      <c r="C149" s="16" t="s">
        <v>165</v>
      </c>
      <c r="D149" s="16" t="s">
        <v>166</v>
      </c>
      <c r="E149" s="6" t="n">
        <v>1000</v>
      </c>
      <c r="F149" s="7" t="n">
        <v>20</v>
      </c>
      <c r="G149" s="6" t="n">
        <v>68.13</v>
      </c>
      <c r="H149" s="6" t="n">
        <v>177</v>
      </c>
      <c r="I149" s="6" t="n">
        <v>1362.6</v>
      </c>
      <c r="J149" s="6" t="n">
        <v>1185.6</v>
      </c>
    </row>
    <row collapsed="false" customFormat="false" customHeight="false" hidden="false" ht="12.1" outlineLevel="0" r="150">
      <c r="A150" s="39" t="n">
        <v>45629</v>
      </c>
      <c r="B150" s="16" t="s">
        <v>887</v>
      </c>
      <c r="C150" s="16" t="s">
        <v>134</v>
      </c>
      <c r="D150" s="16" t="s">
        <v>136</v>
      </c>
      <c r="E150" s="6" t="n">
        <v>1000</v>
      </c>
      <c r="F150" s="7" t="n">
        <v>88</v>
      </c>
      <c r="G150" s="6" t="n">
        <v>35.4</v>
      </c>
      <c r="H150" s="6" t="n">
        <v>405</v>
      </c>
      <c r="I150" s="6" t="n">
        <v>3115.2</v>
      </c>
      <c r="J150" s="6" t="n">
        <v>2710.2</v>
      </c>
    </row>
    <row collapsed="false" customFormat="false" customHeight="false" hidden="false" ht="12.1" outlineLevel="0" r="151">
      <c r="A151" s="39" t="n">
        <v>45631</v>
      </c>
      <c r="B151" s="16" t="s">
        <v>887</v>
      </c>
      <c r="C151" s="16" t="s">
        <v>240</v>
      </c>
      <c r="D151" s="16" t="s">
        <v>241</v>
      </c>
      <c r="E151" s="6" t="n">
        <v>1000</v>
      </c>
      <c r="F151" s="7" t="n">
        <v>2</v>
      </c>
      <c r="G151" s="6" t="n">
        <v>10.68</v>
      </c>
      <c r="H151" s="6" t="n">
        <v>3</v>
      </c>
      <c r="I151" s="6" t="n">
        <v>21.36</v>
      </c>
      <c r="J151" s="6" t="n">
        <v>18.36</v>
      </c>
    </row>
    <row collapsed="false" customFormat="false" customHeight="false" hidden="false" ht="12.1" outlineLevel="0" r="152">
      <c r="A152" s="39" t="n">
        <v>45634</v>
      </c>
      <c r="B152" s="16" t="s">
        <v>887</v>
      </c>
      <c r="C152" s="16" t="s">
        <v>602</v>
      </c>
      <c r="D152" s="16" t="s">
        <v>894</v>
      </c>
      <c r="E152" s="6" t="n">
        <v>1000</v>
      </c>
      <c r="F152" s="7" t="n">
        <v>3</v>
      </c>
      <c r="G152" s="6" t="n">
        <v>13.36</v>
      </c>
      <c r="H152" s="6" t="n">
        <v>5</v>
      </c>
      <c r="I152" s="6" t="n">
        <v>40.08</v>
      </c>
      <c r="J152" s="6" t="n">
        <v>35.08</v>
      </c>
    </row>
    <row collapsed="false" customFormat="false" customHeight="false" hidden="false" ht="12.1" outlineLevel="0" r="153">
      <c r="A153" s="39" t="n">
        <v>45634</v>
      </c>
      <c r="B153" s="16" t="s">
        <v>887</v>
      </c>
      <c r="C153" s="16" t="s">
        <v>231</v>
      </c>
      <c r="D153" s="16" t="s">
        <v>232</v>
      </c>
      <c r="E153" s="6" t="n">
        <v>1000</v>
      </c>
      <c r="F153" s="7" t="n">
        <v>1</v>
      </c>
      <c r="G153" s="6" t="n">
        <v>81.78</v>
      </c>
      <c r="H153" s="6" t="n">
        <v>11</v>
      </c>
      <c r="I153" s="6" t="n">
        <v>81.78</v>
      </c>
      <c r="J153" s="6" t="n">
        <v>70.78</v>
      </c>
    </row>
    <row collapsed="false" customFormat="false" customHeight="false" hidden="false" ht="12.1" outlineLevel="0" r="154">
      <c r="A154" s="39" t="n">
        <v>45635</v>
      </c>
      <c r="B154" s="16" t="s">
        <v>887</v>
      </c>
      <c r="C154" s="16" t="s">
        <v>213</v>
      </c>
      <c r="D154" s="16" t="s">
        <v>214</v>
      </c>
      <c r="E154" s="6" t="n">
        <v>960</v>
      </c>
      <c r="F154" s="7" t="n">
        <v>10</v>
      </c>
      <c r="G154" s="6" t="n">
        <v>12.62</v>
      </c>
      <c r="H154" s="6" t="n">
        <v>16</v>
      </c>
      <c r="I154" s="6" t="n">
        <v>126.2</v>
      </c>
      <c r="J154" s="6" t="n">
        <v>110.2</v>
      </c>
    </row>
    <row collapsed="false" customFormat="false" customHeight="false" hidden="false" ht="12.1" outlineLevel="0" r="155">
      <c r="A155" s="39" t="n">
        <v>45636</v>
      </c>
      <c r="B155" s="16" t="s">
        <v>887</v>
      </c>
      <c r="C155" s="16" t="s">
        <v>234</v>
      </c>
      <c r="D155" s="16" t="s">
        <v>235</v>
      </c>
      <c r="E155" s="6" t="n">
        <v>640.33</v>
      </c>
      <c r="F155" s="7" t="n">
        <v>1</v>
      </c>
      <c r="G155" s="6" t="n">
        <v>31.13</v>
      </c>
      <c r="H155" s="6" t="n">
        <v>4</v>
      </c>
      <c r="I155" s="6" t="n">
        <v>31.13</v>
      </c>
      <c r="J155" s="6" t="n">
        <v>27.13</v>
      </c>
    </row>
    <row collapsed="false" customFormat="false" customHeight="false" hidden="false" ht="12.1" outlineLevel="0" r="156">
      <c r="A156" s="39" t="n">
        <v>45638</v>
      </c>
      <c r="B156" s="16" t="s">
        <v>887</v>
      </c>
      <c r="C156" s="16" t="s">
        <v>171</v>
      </c>
      <c r="D156" s="16" t="s">
        <v>172</v>
      </c>
      <c r="E156" s="6" t="n">
        <v>1000</v>
      </c>
      <c r="F156" s="7" t="n">
        <v>20</v>
      </c>
      <c r="G156" s="6" t="n">
        <v>17.83</v>
      </c>
      <c r="H156" s="6" t="n">
        <v>46</v>
      </c>
      <c r="I156" s="6" t="n">
        <v>356.6</v>
      </c>
      <c r="J156" s="6" t="n">
        <v>310.6</v>
      </c>
    </row>
    <row collapsed="false" customFormat="false" customHeight="false" hidden="false" ht="12.1" outlineLevel="0" r="157">
      <c r="A157" s="39" t="n">
        <v>45649</v>
      </c>
      <c r="B157" s="16" t="s">
        <v>887</v>
      </c>
      <c r="C157" s="16" t="s">
        <v>603</v>
      </c>
      <c r="D157" s="16" t="s">
        <v>898</v>
      </c>
      <c r="E157" s="6" t="n">
        <v>1000</v>
      </c>
      <c r="F157" s="7" t="n">
        <v>2</v>
      </c>
      <c r="G157" s="6" t="n">
        <v>31.66</v>
      </c>
      <c r="H157" s="6" t="n">
        <v>8</v>
      </c>
      <c r="I157" s="6" t="n">
        <v>63.32</v>
      </c>
      <c r="J157" s="6" t="n">
        <v>55.32</v>
      </c>
    </row>
    <row collapsed="false" customFormat="false" customHeight="false" hidden="false" ht="12.1" outlineLevel="0" r="158">
      <c r="A158" s="39" t="n">
        <v>45649</v>
      </c>
      <c r="B158" s="16" t="s">
        <v>887</v>
      </c>
      <c r="C158" s="16" t="s">
        <v>147</v>
      </c>
      <c r="D158" s="16" t="s">
        <v>148</v>
      </c>
      <c r="E158" s="6" t="n">
        <v>1000</v>
      </c>
      <c r="F158" s="7" t="n">
        <v>8</v>
      </c>
      <c r="G158" s="6" t="n">
        <v>11.18</v>
      </c>
      <c r="H158" s="6" t="n">
        <v>12</v>
      </c>
      <c r="I158" s="6" t="n">
        <v>89.44</v>
      </c>
      <c r="J158" s="6" t="n">
        <v>77.44</v>
      </c>
    </row>
    <row collapsed="false" customFormat="false" customHeight="false" hidden="false" ht="12.1" outlineLevel="0" r="159">
      <c r="A159" s="39" t="n">
        <v>45656</v>
      </c>
      <c r="B159" s="16" t="s">
        <v>887</v>
      </c>
      <c r="C159" s="16" t="s">
        <v>177</v>
      </c>
      <c r="D159" s="16" t="s">
        <v>178</v>
      </c>
      <c r="E159" s="6" t="n">
        <v>1000</v>
      </c>
      <c r="F159" s="7" t="n">
        <v>7</v>
      </c>
      <c r="G159" s="6" t="n">
        <v>11.26</v>
      </c>
      <c r="H159" s="6" t="n">
        <v>10</v>
      </c>
      <c r="I159" s="6" t="n">
        <v>78.82</v>
      </c>
      <c r="J159" s="6" t="n">
        <v>68.82</v>
      </c>
    </row>
    <row collapsed="false" customFormat="false" customHeight="false" hidden="false" ht="12.1" outlineLevel="0" r="160">
      <c r="A160" s="39" t="n">
        <v>45657</v>
      </c>
      <c r="B160" s="16" t="s">
        <v>887</v>
      </c>
      <c r="C160" s="16" t="s">
        <v>228</v>
      </c>
      <c r="D160" s="16" t="s">
        <v>229</v>
      </c>
      <c r="E160" s="6" t="n">
        <v>695.61</v>
      </c>
      <c r="F160" s="7" t="n">
        <v>7</v>
      </c>
      <c r="G160" s="6" t="n">
        <v>4.73</v>
      </c>
      <c r="H160" s="6" t="n">
        <v>4</v>
      </c>
      <c r="I160" s="6" t="n">
        <v>33.11</v>
      </c>
      <c r="J160" s="6" t="n">
        <v>29.11</v>
      </c>
    </row>
    <row collapsed="false" customFormat="false" customHeight="false" hidden="false" ht="12.1" outlineLevel="0" r="161">
      <c r="A161" s="39" t="n">
        <v>45658</v>
      </c>
      <c r="B161" s="16" t="s">
        <v>887</v>
      </c>
      <c r="C161" s="16" t="s">
        <v>237</v>
      </c>
      <c r="D161" s="16" t="s">
        <v>238</v>
      </c>
      <c r="E161" s="6" t="n">
        <v>459.65999999999997</v>
      </c>
      <c r="F161" s="7" t="n">
        <v>10</v>
      </c>
      <c r="G161" s="6" t="n">
        <v>4.29</v>
      </c>
      <c r="H161" s="6" t="n">
        <v>6</v>
      </c>
      <c r="I161" s="6" t="n">
        <v>42.9</v>
      </c>
      <c r="J161" s="6" t="n">
        <v>36.9</v>
      </c>
    </row>
    <row collapsed="false" customFormat="false" customHeight="false" hidden="false" ht="12.1" outlineLevel="0" r="162">
      <c r="A162" s="39" t="n">
        <v>45658</v>
      </c>
      <c r="B162" s="16" t="s">
        <v>887</v>
      </c>
      <c r="C162" s="16" t="s">
        <v>210</v>
      </c>
      <c r="D162" s="16" t="s">
        <v>211</v>
      </c>
      <c r="E162" s="6" t="n">
        <v>1000</v>
      </c>
      <c r="F162" s="7" t="n">
        <v>4</v>
      </c>
      <c r="G162" s="6" t="n">
        <v>29.42</v>
      </c>
      <c r="H162" s="6" t="n">
        <v>15</v>
      </c>
      <c r="I162" s="6" t="n">
        <v>117.68</v>
      </c>
      <c r="J162" s="6" t="n">
        <v>102.68</v>
      </c>
    </row>
    <row collapsed="false" customFormat="false" customHeight="false" hidden="false" ht="12.1" outlineLevel="0" r="163">
      <c r="A163" s="39" t="n">
        <v>45661</v>
      </c>
      <c r="B163" s="16" t="s">
        <v>887</v>
      </c>
      <c r="C163" s="16" t="s">
        <v>240</v>
      </c>
      <c r="D163" s="16" t="s">
        <v>241</v>
      </c>
      <c r="E163" s="6" t="n">
        <v>1000</v>
      </c>
      <c r="F163" s="7" t="n">
        <v>2</v>
      </c>
      <c r="G163" s="6" t="n">
        <v>10.68</v>
      </c>
      <c r="H163" s="6" t="n">
        <v>3</v>
      </c>
      <c r="I163" s="6" t="n">
        <v>21.36</v>
      </c>
      <c r="J163" s="6" t="n">
        <v>18.36</v>
      </c>
    </row>
    <row collapsed="false" customFormat="false" customHeight="false" hidden="false" ht="12.1" outlineLevel="0" r="164">
      <c r="A164" s="39" t="n">
        <v>45663</v>
      </c>
      <c r="B164" s="16" t="s">
        <v>887</v>
      </c>
      <c r="C164" s="16" t="s">
        <v>605</v>
      </c>
      <c r="D164" s="16" t="s">
        <v>893</v>
      </c>
      <c r="E164" s="6" t="n">
        <v>1000</v>
      </c>
      <c r="F164" s="7" t="n">
        <v>2</v>
      </c>
      <c r="G164" s="6" t="n">
        <v>44.88</v>
      </c>
      <c r="H164" s="6" t="n">
        <v>12</v>
      </c>
      <c r="I164" s="6" t="n">
        <v>89.76</v>
      </c>
      <c r="J164" s="6" t="n">
        <v>77.76</v>
      </c>
    </row>
    <row collapsed="false" customFormat="false" customHeight="false" hidden="false" ht="12.1" outlineLevel="0" r="165">
      <c r="A165" s="39" t="n">
        <v>45665</v>
      </c>
      <c r="B165" s="16" t="s">
        <v>887</v>
      </c>
      <c r="C165" s="16" t="s">
        <v>213</v>
      </c>
      <c r="D165" s="16" t="s">
        <v>214</v>
      </c>
      <c r="E165" s="6" t="n">
        <v>920</v>
      </c>
      <c r="F165" s="7" t="n">
        <v>10</v>
      </c>
      <c r="G165" s="6" t="n">
        <v>12.1</v>
      </c>
      <c r="H165" s="6" t="n">
        <v>16</v>
      </c>
      <c r="I165" s="6" t="n">
        <v>121</v>
      </c>
      <c r="J165" s="6" t="n">
        <v>105</v>
      </c>
    </row>
    <row collapsed="false" customFormat="false" customHeight="false" hidden="false" ht="12.1" outlineLevel="0" r="166">
      <c r="A166" s="39" t="n">
        <v>45666</v>
      </c>
      <c r="B166" s="16" t="s">
        <v>887</v>
      </c>
      <c r="C166" s="16" t="s">
        <v>615</v>
      </c>
      <c r="D166" s="16" t="s">
        <v>901</v>
      </c>
      <c r="E166" s="6" t="n">
        <v>1000</v>
      </c>
      <c r="F166" s="7" t="n">
        <v>5</v>
      </c>
      <c r="G166" s="6" t="n">
        <v>33.03</v>
      </c>
      <c r="H166" s="6" t="n">
        <v>21</v>
      </c>
      <c r="I166" s="6" t="n">
        <v>165.15</v>
      </c>
      <c r="J166" s="6" t="n">
        <v>144.15</v>
      </c>
    </row>
    <row collapsed="false" customFormat="false" customHeight="false" hidden="false" ht="12.1" outlineLevel="0" r="167">
      <c r="A167" s="39" t="n">
        <v>45679</v>
      </c>
      <c r="B167" s="16" t="s">
        <v>887</v>
      </c>
      <c r="C167" s="16" t="s">
        <v>604</v>
      </c>
      <c r="D167" s="16" t="s">
        <v>895</v>
      </c>
      <c r="E167" s="6" t="n">
        <v>1000</v>
      </c>
      <c r="F167" s="7" t="n">
        <v>4</v>
      </c>
      <c r="G167" s="6" t="n">
        <v>44.88</v>
      </c>
      <c r="H167" s="6" t="n">
        <v>23</v>
      </c>
      <c r="I167" s="6" t="n">
        <v>179.52</v>
      </c>
      <c r="J167" s="6" t="n">
        <v>156.52</v>
      </c>
    </row>
    <row collapsed="false" customFormat="false" customHeight="false" hidden="false" ht="12.1" outlineLevel="0" r="168">
      <c r="A168" s="39" t="n">
        <v>45679</v>
      </c>
      <c r="B168" s="16" t="s">
        <v>887</v>
      </c>
      <c r="C168" s="16" t="s">
        <v>147</v>
      </c>
      <c r="D168" s="16" t="s">
        <v>148</v>
      </c>
      <c r="E168" s="6" t="n">
        <v>1000</v>
      </c>
      <c r="F168" s="7" t="n">
        <v>8</v>
      </c>
      <c r="G168" s="6" t="n">
        <v>11.18</v>
      </c>
      <c r="H168" s="6" t="n">
        <v>12</v>
      </c>
      <c r="I168" s="6" t="n">
        <v>89.44</v>
      </c>
      <c r="J168" s="6" t="n">
        <v>77.44</v>
      </c>
    </row>
    <row collapsed="false" customFormat="false" customHeight="false" hidden="false" ht="12.1" outlineLevel="0" r="169">
      <c r="A169" s="39" t="n">
        <v>45679</v>
      </c>
      <c r="B169" s="16" t="s">
        <v>887</v>
      </c>
      <c r="C169" s="16" t="s">
        <v>180</v>
      </c>
      <c r="D169" s="16" t="s">
        <v>181</v>
      </c>
      <c r="E169" s="6" t="n">
        <v>1000</v>
      </c>
      <c r="F169" s="7" t="n">
        <v>12</v>
      </c>
      <c r="G169" s="6" t="n">
        <v>16.83</v>
      </c>
      <c r="H169" s="6" t="n">
        <v>26</v>
      </c>
      <c r="I169" s="6" t="n">
        <v>201.96</v>
      </c>
      <c r="J169" s="6" t="n">
        <v>175.96</v>
      </c>
    </row>
    <row collapsed="false" customFormat="false" customHeight="false" hidden="false" ht="12.1" outlineLevel="0" r="170">
      <c r="A170" s="39" t="n">
        <v>45686</v>
      </c>
      <c r="B170" s="16" t="s">
        <v>887</v>
      </c>
      <c r="C170" s="16" t="s">
        <v>177</v>
      </c>
      <c r="D170" s="16" t="s">
        <v>178</v>
      </c>
      <c r="E170" s="6" t="n">
        <v>1000</v>
      </c>
      <c r="F170" s="7" t="n">
        <v>7</v>
      </c>
      <c r="G170" s="6" t="n">
        <v>11.26</v>
      </c>
      <c r="H170" s="6" t="n">
        <v>10</v>
      </c>
      <c r="I170" s="6" t="n">
        <v>78.82</v>
      </c>
      <c r="J170" s="6" t="n">
        <v>68.82</v>
      </c>
    </row>
    <row collapsed="false" customFormat="false" customHeight="false" hidden="false" ht="12.1" outlineLevel="0" r="171">
      <c r="A171" s="39" t="n">
        <v>45687</v>
      </c>
      <c r="B171" s="16" t="s">
        <v>887</v>
      </c>
      <c r="C171" s="16" t="s">
        <v>195</v>
      </c>
      <c r="D171" s="16" t="s">
        <v>196</v>
      </c>
      <c r="E171" s="6" t="n">
        <v>1000</v>
      </c>
      <c r="F171" s="7" t="n">
        <v>5</v>
      </c>
      <c r="G171" s="6" t="n">
        <v>39.89</v>
      </c>
      <c r="H171" s="6" t="n">
        <v>26</v>
      </c>
      <c r="I171" s="6" t="n">
        <v>199.45</v>
      </c>
      <c r="J171" s="6" t="n">
        <v>173.45</v>
      </c>
    </row>
    <row collapsed="false" customFormat="false" customHeight="false" hidden="false" ht="12.1" outlineLevel="0" r="172">
      <c r="A172" s="39" t="n">
        <v>45688</v>
      </c>
      <c r="B172" s="16" t="s">
        <v>887</v>
      </c>
      <c r="C172" s="16" t="s">
        <v>228</v>
      </c>
      <c r="D172" s="16" t="s">
        <v>229</v>
      </c>
      <c r="E172" s="6" t="n">
        <v>648.33</v>
      </c>
      <c r="F172" s="7" t="n">
        <v>7</v>
      </c>
      <c r="G172" s="6" t="n">
        <v>4.41</v>
      </c>
      <c r="H172" s="6" t="n">
        <v>4</v>
      </c>
      <c r="I172" s="6" t="n">
        <v>30.87</v>
      </c>
      <c r="J172" s="6" t="n">
        <v>26.87</v>
      </c>
    </row>
    <row collapsed="false" customFormat="false" customHeight="false" hidden="false" ht="12.1" outlineLevel="0" r="173">
      <c r="A173" s="39" t="n">
        <v>45689</v>
      </c>
      <c r="B173" s="16" t="s">
        <v>887</v>
      </c>
      <c r="C173" s="16" t="s">
        <v>237</v>
      </c>
      <c r="D173" s="16" t="s">
        <v>238</v>
      </c>
      <c r="E173" s="6" t="n">
        <v>423.68</v>
      </c>
      <c r="F173" s="7" t="n">
        <v>10</v>
      </c>
      <c r="G173" s="6" t="n">
        <v>3.96</v>
      </c>
      <c r="H173" s="6" t="n">
        <v>5</v>
      </c>
      <c r="I173" s="6" t="n">
        <v>39.6</v>
      </c>
      <c r="J173" s="6" t="n">
        <v>34.6</v>
      </c>
    </row>
    <row collapsed="false" customFormat="false" customHeight="false" hidden="false" ht="12.1" outlineLevel="0" r="174">
      <c r="A174" s="39" t="n">
        <v>45691</v>
      </c>
      <c r="B174" s="16" t="s">
        <v>887</v>
      </c>
      <c r="C174" s="16" t="s">
        <v>240</v>
      </c>
      <c r="D174" s="16" t="s">
        <v>241</v>
      </c>
      <c r="E174" s="6" t="n">
        <v>1000</v>
      </c>
      <c r="F174" s="7" t="n">
        <v>2</v>
      </c>
      <c r="G174" s="6" t="n">
        <v>10.68</v>
      </c>
      <c r="H174" s="6" t="n">
        <v>3</v>
      </c>
      <c r="I174" s="6" t="n">
        <v>21.36</v>
      </c>
      <c r="J174" s="6" t="n">
        <v>18.36</v>
      </c>
    </row>
    <row collapsed="false" customFormat="false" customHeight="false" hidden="false" ht="12.1" outlineLevel="0" r="175">
      <c r="A175" s="39" t="n">
        <v>45695</v>
      </c>
      <c r="B175" s="16" t="s">
        <v>887</v>
      </c>
      <c r="C175" s="16" t="s">
        <v>213</v>
      </c>
      <c r="D175" s="16" t="s">
        <v>214</v>
      </c>
      <c r="E175" s="6" t="n">
        <v>880</v>
      </c>
      <c r="F175" s="7" t="n">
        <v>10</v>
      </c>
      <c r="G175" s="6" t="n">
        <v>11.57</v>
      </c>
      <c r="H175" s="6" t="n">
        <v>15</v>
      </c>
      <c r="I175" s="6" t="n">
        <v>115.7</v>
      </c>
      <c r="J175" s="6" t="n">
        <v>100.7</v>
      </c>
    </row>
    <row collapsed="false" customFormat="false" customHeight="false" hidden="false" ht="12.1" outlineLevel="0" r="176">
      <c r="A176" s="39" t="n">
        <v>45699</v>
      </c>
      <c r="B176" s="16" t="s">
        <v>887</v>
      </c>
      <c r="C176" s="16" t="s">
        <v>138</v>
      </c>
      <c r="D176" s="16" t="s">
        <v>139</v>
      </c>
      <c r="E176" s="6" t="n">
        <v>1000</v>
      </c>
      <c r="F176" s="7" t="n">
        <v>80</v>
      </c>
      <c r="G176" s="6" t="n">
        <v>34.9</v>
      </c>
      <c r="H176" s="6" t="n">
        <v>363</v>
      </c>
      <c r="I176" s="6" t="n">
        <v>2792</v>
      </c>
      <c r="J176" s="6" t="n">
        <v>2429</v>
      </c>
    </row>
    <row collapsed="false" customFormat="false" customHeight="false" hidden="false" ht="12.1" outlineLevel="0" r="177">
      <c r="A177" s="39" t="n">
        <v>45700</v>
      </c>
      <c r="B177" s="16" t="s">
        <v>887</v>
      </c>
      <c r="C177" s="16" t="s">
        <v>219</v>
      </c>
      <c r="D177" s="16" t="s">
        <v>220</v>
      </c>
      <c r="E177" s="6" t="n">
        <v>900</v>
      </c>
      <c r="F177" s="7" t="n">
        <v>5</v>
      </c>
      <c r="G177" s="6" t="n">
        <v>35.9</v>
      </c>
      <c r="H177" s="6" t="n">
        <v>23</v>
      </c>
      <c r="I177" s="6" t="n">
        <v>179.5</v>
      </c>
      <c r="J177" s="6" t="n">
        <v>156.5</v>
      </c>
    </row>
    <row collapsed="false" customFormat="false" customHeight="false" hidden="false" ht="12.1" outlineLevel="0" r="178">
      <c r="A178" s="39" t="n">
        <v>45701</v>
      </c>
      <c r="B178" s="16" t="s">
        <v>887</v>
      </c>
      <c r="C178" s="16" t="s">
        <v>222</v>
      </c>
      <c r="D178" s="16" t="s">
        <v>223</v>
      </c>
      <c r="E178" s="6" t="n">
        <v>1000</v>
      </c>
      <c r="F178" s="7" t="n">
        <v>2</v>
      </c>
      <c r="G178" s="6" t="n">
        <v>66.32</v>
      </c>
      <c r="H178" s="6" t="n">
        <v>17</v>
      </c>
      <c r="I178" s="6" t="n">
        <v>132.64</v>
      </c>
      <c r="J178" s="6" t="n">
        <v>115.64</v>
      </c>
    </row>
    <row collapsed="false" customFormat="false" customHeight="false" hidden="false" ht="12.1" outlineLevel="0" r="179">
      <c r="A179" s="39" t="n">
        <v>45705</v>
      </c>
      <c r="B179" s="16" t="s">
        <v>887</v>
      </c>
      <c r="C179" s="16" t="s">
        <v>608</v>
      </c>
      <c r="D179" s="16" t="s">
        <v>896</v>
      </c>
      <c r="E179" s="6" t="n">
        <v>1000</v>
      </c>
      <c r="F179" s="7" t="n">
        <v>2</v>
      </c>
      <c r="G179" s="6" t="n">
        <v>47.37</v>
      </c>
      <c r="H179" s="6" t="n">
        <v>12</v>
      </c>
      <c r="I179" s="6" t="n">
        <v>94.74</v>
      </c>
      <c r="J179" s="6" t="n">
        <v>82.74</v>
      </c>
    </row>
    <row collapsed="false" customFormat="false" customHeight="false" hidden="false" ht="12.1" outlineLevel="0" r="180">
      <c r="A180" s="39" t="n">
        <v>45706</v>
      </c>
      <c r="B180" s="16" t="s">
        <v>887</v>
      </c>
      <c r="C180" s="16" t="s">
        <v>192</v>
      </c>
      <c r="D180" s="16" t="s">
        <v>193</v>
      </c>
      <c r="E180" s="6" t="n">
        <v>1000</v>
      </c>
      <c r="F180" s="7" t="n">
        <v>5</v>
      </c>
      <c r="G180" s="6" t="n">
        <v>34.16</v>
      </c>
      <c r="H180" s="6" t="n">
        <v>22</v>
      </c>
      <c r="I180" s="6" t="n">
        <v>170.8</v>
      </c>
      <c r="J180" s="6" t="n">
        <v>148.8</v>
      </c>
    </row>
    <row collapsed="false" customFormat="false" customHeight="false" hidden="false" ht="12.1" outlineLevel="0" r="181">
      <c r="A181" s="39" t="n">
        <v>45706</v>
      </c>
      <c r="B181" s="16" t="s">
        <v>887</v>
      </c>
      <c r="C181" s="16" t="s">
        <v>162</v>
      </c>
      <c r="D181" s="16" t="s">
        <v>163</v>
      </c>
      <c r="E181" s="6" t="n">
        <v>1000</v>
      </c>
      <c r="F181" s="7" t="n">
        <v>19</v>
      </c>
      <c r="G181" s="6" t="n">
        <v>32.16</v>
      </c>
      <c r="H181" s="6" t="n">
        <v>79</v>
      </c>
      <c r="I181" s="6" t="n">
        <v>611.04</v>
      </c>
      <c r="J181" s="6" t="n">
        <v>532.04</v>
      </c>
    </row>
    <row collapsed="false" customFormat="false" customHeight="false" hidden="false" ht="12.1" outlineLevel="0" r="182">
      <c r="A182" s="39" t="n">
        <v>45709</v>
      </c>
      <c r="B182" s="16" t="s">
        <v>887</v>
      </c>
      <c r="C182" s="16" t="s">
        <v>147</v>
      </c>
      <c r="D182" s="16" t="s">
        <v>148</v>
      </c>
      <c r="E182" s="6" t="n">
        <v>1000</v>
      </c>
      <c r="F182" s="7" t="n">
        <v>8</v>
      </c>
      <c r="G182" s="6" t="n">
        <v>11.18</v>
      </c>
      <c r="H182" s="6" t="n">
        <v>12</v>
      </c>
      <c r="I182" s="6" t="n">
        <v>89.44</v>
      </c>
      <c r="J182" s="6" t="n">
        <v>77.44</v>
      </c>
    </row>
    <row collapsed="false" customFormat="false" customHeight="false" hidden="false" ht="12.1" outlineLevel="0" r="183">
      <c r="A183" s="39" t="n">
        <v>45711</v>
      </c>
      <c r="B183" s="16" t="s">
        <v>887</v>
      </c>
      <c r="C183" s="16" t="s">
        <v>198</v>
      </c>
      <c r="D183" s="16" t="s">
        <v>199</v>
      </c>
      <c r="E183" s="6" t="n">
        <v>1000</v>
      </c>
      <c r="F183" s="7" t="n">
        <v>5</v>
      </c>
      <c r="G183" s="6" t="n">
        <v>18.32</v>
      </c>
      <c r="H183" s="6" t="n">
        <v>12</v>
      </c>
      <c r="I183" s="6" t="n">
        <v>91.6</v>
      </c>
      <c r="J183" s="6" t="n">
        <v>79.6</v>
      </c>
    </row>
    <row collapsed="false" customFormat="false" customHeight="false" hidden="false" ht="12.1" outlineLevel="0" r="184">
      <c r="A184" s="39" t="n">
        <v>45715</v>
      </c>
      <c r="B184" s="16" t="s">
        <v>887</v>
      </c>
      <c r="C184" s="16" t="s">
        <v>216</v>
      </c>
      <c r="D184" s="16" t="s">
        <v>217</v>
      </c>
      <c r="E184" s="6" t="n">
        <v>1000</v>
      </c>
      <c r="F184" s="7" t="n">
        <v>3</v>
      </c>
      <c r="G184" s="6" t="n">
        <v>24.81</v>
      </c>
      <c r="H184" s="6" t="n">
        <v>10</v>
      </c>
      <c r="I184" s="6" t="n">
        <v>74.43</v>
      </c>
      <c r="J184" s="6" t="n">
        <v>64.43</v>
      </c>
    </row>
    <row collapsed="false" customFormat="false" customHeight="false" hidden="false" ht="12.1" outlineLevel="0" r="185">
      <c r="A185" s="39" t="n">
        <v>45716</v>
      </c>
      <c r="B185" s="16" t="s">
        <v>887</v>
      </c>
      <c r="C185" s="16" t="s">
        <v>228</v>
      </c>
      <c r="D185" s="16" t="s">
        <v>229</v>
      </c>
      <c r="E185" s="6" t="n">
        <v>605.76</v>
      </c>
      <c r="F185" s="7" t="n">
        <v>7</v>
      </c>
      <c r="G185" s="6" t="n">
        <v>3.72</v>
      </c>
      <c r="H185" s="6" t="n">
        <v>3</v>
      </c>
      <c r="I185" s="6" t="n">
        <v>26.04</v>
      </c>
      <c r="J185" s="6" t="n">
        <v>23.04</v>
      </c>
    </row>
    <row collapsed="false" customFormat="false" customHeight="false" hidden="false" ht="12.1" outlineLevel="0" r="186">
      <c r="A186" s="39" t="n">
        <v>45716</v>
      </c>
      <c r="B186" s="16" t="s">
        <v>887</v>
      </c>
      <c r="C186" s="16" t="s">
        <v>177</v>
      </c>
      <c r="D186" s="16" t="s">
        <v>178</v>
      </c>
      <c r="E186" s="6" t="n">
        <v>1000</v>
      </c>
      <c r="F186" s="7" t="n">
        <v>7</v>
      </c>
      <c r="G186" s="6" t="n">
        <v>11.26</v>
      </c>
      <c r="H186" s="6" t="n">
        <v>10</v>
      </c>
      <c r="I186" s="6" t="n">
        <v>78.82</v>
      </c>
      <c r="J186" s="6" t="n">
        <v>68.82</v>
      </c>
    </row>
    <row collapsed="false" customFormat="false" customHeight="false" hidden="false" ht="12.1" outlineLevel="0" r="187">
      <c r="A187" s="39" t="n">
        <v>45717</v>
      </c>
      <c r="B187" s="16" t="s">
        <v>887</v>
      </c>
      <c r="C187" s="16" t="s">
        <v>237</v>
      </c>
      <c r="D187" s="16" t="s">
        <v>238</v>
      </c>
      <c r="E187" s="6" t="n">
        <v>390.72</v>
      </c>
      <c r="F187" s="7" t="n">
        <v>10</v>
      </c>
      <c r="G187" s="6" t="n">
        <v>3.3</v>
      </c>
      <c r="H187" s="6" t="n">
        <v>4</v>
      </c>
      <c r="I187" s="6" t="n">
        <v>33</v>
      </c>
      <c r="J187" s="6" t="n">
        <v>29</v>
      </c>
    </row>
    <row collapsed="false" customFormat="false" customHeight="false" hidden="false" ht="12.1" outlineLevel="0" r="188">
      <c r="A188" s="39" t="n">
        <v>45720</v>
      </c>
      <c r="B188" s="16" t="s">
        <v>887</v>
      </c>
      <c r="C188" s="16" t="s">
        <v>207</v>
      </c>
      <c r="D188" s="16" t="s">
        <v>208</v>
      </c>
      <c r="E188" s="6" t="n">
        <v>1000</v>
      </c>
      <c r="F188" s="7" t="n">
        <v>5</v>
      </c>
      <c r="G188" s="6" t="n">
        <v>46.12</v>
      </c>
      <c r="H188" s="6" t="n">
        <v>30</v>
      </c>
      <c r="I188" s="6" t="n">
        <v>230.6</v>
      </c>
      <c r="J188" s="6" t="n">
        <v>200.6</v>
      </c>
    </row>
    <row collapsed="false" customFormat="false" customHeight="false" hidden="false" ht="12.1" outlineLevel="0" r="189">
      <c r="A189" s="39" t="n">
        <v>45721</v>
      </c>
      <c r="B189" s="16" t="s">
        <v>887</v>
      </c>
      <c r="C189" s="16" t="s">
        <v>240</v>
      </c>
      <c r="D189" s="16" t="s">
        <v>241</v>
      </c>
      <c r="E189" s="6" t="n">
        <v>1000</v>
      </c>
      <c r="F189" s="7" t="n">
        <v>2</v>
      </c>
      <c r="G189" s="6" t="n">
        <v>10.68</v>
      </c>
      <c r="H189" s="6" t="n">
        <v>3</v>
      </c>
      <c r="I189" s="6" t="n">
        <v>21.36</v>
      </c>
      <c r="J189" s="6" t="n">
        <v>18.36</v>
      </c>
    </row>
    <row collapsed="false" customFormat="false" customHeight="false" hidden="false" ht="12.1" outlineLevel="0" r="190">
      <c r="A190" s="39" t="n">
        <v>45725</v>
      </c>
      <c r="B190" s="16" t="s">
        <v>887</v>
      </c>
      <c r="C190" s="16" t="s">
        <v>213</v>
      </c>
      <c r="D190" s="16" t="s">
        <v>214</v>
      </c>
      <c r="E190" s="6" t="n">
        <v>840</v>
      </c>
      <c r="F190" s="7" t="n">
        <v>10</v>
      </c>
      <c r="G190" s="6" t="n">
        <v>11.05</v>
      </c>
      <c r="H190" s="6" t="n">
        <v>14</v>
      </c>
      <c r="I190" s="6" t="n">
        <v>110.5</v>
      </c>
      <c r="J190" s="6" t="n">
        <v>96.5</v>
      </c>
    </row>
    <row collapsed="false" customFormat="false" customHeight="false" hidden="false" ht="12.1" outlineLevel="0" r="191">
      <c r="A191" s="39" t="n">
        <v>45727</v>
      </c>
      <c r="B191" s="16" t="s">
        <v>887</v>
      </c>
      <c r="C191" s="16" t="s">
        <v>234</v>
      </c>
      <c r="D191" s="16" t="s">
        <v>235</v>
      </c>
      <c r="E191" s="6" t="n">
        <v>623.7700000000001</v>
      </c>
      <c r="F191" s="7" t="n">
        <v>1</v>
      </c>
      <c r="G191" s="6" t="n">
        <v>34.99</v>
      </c>
      <c r="H191" s="6" t="n">
        <v>5</v>
      </c>
      <c r="I191" s="6" t="n">
        <v>34.99</v>
      </c>
      <c r="J191" s="6" t="n">
        <v>29.99</v>
      </c>
    </row>
    <row collapsed="false" customFormat="false" customHeight="false" hidden="false" ht="12.1" outlineLevel="0" r="192">
      <c r="A192" s="39" t="n">
        <v>45729</v>
      </c>
      <c r="B192" s="16" t="s">
        <v>887</v>
      </c>
      <c r="C192" s="16" t="s">
        <v>171</v>
      </c>
      <c r="D192" s="16" t="s">
        <v>172</v>
      </c>
      <c r="E192" s="6" t="n">
        <v>1000</v>
      </c>
      <c r="F192" s="7" t="n">
        <v>20</v>
      </c>
      <c r="G192" s="6" t="n">
        <v>17.83</v>
      </c>
      <c r="H192" s="6" t="n">
        <v>46</v>
      </c>
      <c r="I192" s="6" t="n">
        <v>356.6</v>
      </c>
      <c r="J192" s="6" t="n">
        <v>310.6</v>
      </c>
    </row>
    <row collapsed="false" customFormat="false" customHeight="false" hidden="false" ht="12.1" outlineLevel="0" r="193">
      <c r="A193" s="39" t="n">
        <v>45734</v>
      </c>
      <c r="B193" s="16" t="s">
        <v>887</v>
      </c>
      <c r="C193" s="16" t="s">
        <v>156</v>
      </c>
      <c r="D193" s="16" t="s">
        <v>157</v>
      </c>
      <c r="E193" s="6" t="n">
        <v>1000</v>
      </c>
      <c r="F193" s="7" t="n">
        <v>34</v>
      </c>
      <c r="G193" s="6" t="n">
        <v>33.41</v>
      </c>
      <c r="H193" s="6" t="n">
        <v>148</v>
      </c>
      <c r="I193" s="6" t="n">
        <v>1135.94</v>
      </c>
      <c r="J193" s="6" t="n">
        <v>987.94</v>
      </c>
    </row>
    <row collapsed="false" customFormat="false" customHeight="false" hidden="false" ht="12.1" outlineLevel="0" r="194">
      <c r="A194" s="39" t="n">
        <v>45734</v>
      </c>
      <c r="B194" s="16" t="s">
        <v>887</v>
      </c>
      <c r="C194" s="16" t="s">
        <v>174</v>
      </c>
      <c r="D194" s="16" t="s">
        <v>175</v>
      </c>
      <c r="E194" s="6" t="n">
        <v>1000</v>
      </c>
      <c r="F194" s="7" t="n">
        <v>15</v>
      </c>
      <c r="G194" s="6" t="n">
        <v>38.64</v>
      </c>
      <c r="H194" s="6" t="n">
        <v>75</v>
      </c>
      <c r="I194" s="6" t="n">
        <v>579.6</v>
      </c>
      <c r="J194" s="6" t="n">
        <v>504.6</v>
      </c>
    </row>
    <row collapsed="false" customFormat="false" customHeight="false" hidden="false" ht="12.1" outlineLevel="0" r="195">
      <c r="A195" s="39" t="n">
        <v>45739</v>
      </c>
      <c r="B195" s="16" t="s">
        <v>887</v>
      </c>
      <c r="C195" s="16" t="s">
        <v>147</v>
      </c>
      <c r="D195" s="16" t="s">
        <v>148</v>
      </c>
      <c r="E195" s="6" t="n">
        <v>1000</v>
      </c>
      <c r="F195" s="7" t="n">
        <v>8</v>
      </c>
      <c r="G195" s="6" t="n">
        <v>11.18</v>
      </c>
      <c r="H195" s="6" t="n">
        <v>12</v>
      </c>
      <c r="I195" s="6" t="n">
        <v>89.44</v>
      </c>
      <c r="J195" s="6" t="n">
        <v>77.44</v>
      </c>
    </row>
    <row collapsed="false" customFormat="false" customHeight="false" hidden="false" ht="12.1" outlineLevel="0" r="196">
      <c r="A196" s="39" t="n">
        <v>45740</v>
      </c>
      <c r="B196" s="16" t="s">
        <v>887</v>
      </c>
      <c r="C196" s="16" t="s">
        <v>603</v>
      </c>
      <c r="D196" s="16" t="s">
        <v>898</v>
      </c>
      <c r="E196" s="6" t="n">
        <v>1000</v>
      </c>
      <c r="F196" s="7" t="n">
        <v>2</v>
      </c>
      <c r="G196" s="6" t="n">
        <v>31.66</v>
      </c>
      <c r="H196" s="6" t="n">
        <v>8</v>
      </c>
      <c r="I196" s="6" t="n">
        <v>63.32</v>
      </c>
      <c r="J196" s="6" t="n">
        <v>55.32</v>
      </c>
    </row>
    <row collapsed="false" customFormat="false" customHeight="false" hidden="false" ht="12.1" outlineLevel="0" r="197">
      <c r="A197" s="39" t="n">
        <v>45741</v>
      </c>
      <c r="B197" s="16" t="s">
        <v>887</v>
      </c>
      <c r="C197" s="16" t="s">
        <v>153</v>
      </c>
      <c r="D197" s="16" t="s">
        <v>154</v>
      </c>
      <c r="E197" s="6" t="n">
        <v>1000</v>
      </c>
      <c r="F197" s="7" t="n">
        <v>34</v>
      </c>
      <c r="G197" s="6" t="n">
        <v>59.84</v>
      </c>
      <c r="H197" s="6" t="n">
        <v>264</v>
      </c>
      <c r="I197" s="6" t="n">
        <v>2034.56</v>
      </c>
      <c r="J197" s="6" t="n">
        <v>1770.56</v>
      </c>
    </row>
    <row collapsed="false" customFormat="false" customHeight="false" hidden="false" ht="12.1" outlineLevel="0" r="198">
      <c r="A198" s="39" t="n">
        <v>45741</v>
      </c>
      <c r="B198" s="16" t="s">
        <v>887</v>
      </c>
      <c r="C198" s="16" t="s">
        <v>607</v>
      </c>
      <c r="D198" s="16" t="s">
        <v>899</v>
      </c>
      <c r="E198" s="6" t="n">
        <v>670</v>
      </c>
      <c r="F198" s="7" t="n">
        <v>2</v>
      </c>
      <c r="G198" s="6" t="n">
        <v>36.41</v>
      </c>
      <c r="H198" s="6" t="n">
        <v>9</v>
      </c>
      <c r="I198" s="6" t="n">
        <v>72.82</v>
      </c>
      <c r="J198" s="6" t="n">
        <v>63.82</v>
      </c>
    </row>
    <row collapsed="false" customFormat="false" customHeight="false" hidden="false" ht="12.1" outlineLevel="0" r="199">
      <c r="A199" s="39" t="n">
        <v>45741</v>
      </c>
      <c r="B199" s="16" t="s">
        <v>887</v>
      </c>
      <c r="C199" s="16" t="s">
        <v>144</v>
      </c>
      <c r="D199" s="16" t="s">
        <v>145</v>
      </c>
      <c r="E199" s="6" t="n">
        <v>1000</v>
      </c>
      <c r="F199" s="7" t="n">
        <v>40</v>
      </c>
      <c r="G199" s="6" t="n">
        <v>56.1</v>
      </c>
      <c r="H199" s="6" t="n">
        <v>292</v>
      </c>
      <c r="I199" s="6" t="n">
        <v>2244</v>
      </c>
      <c r="J199" s="6" t="n">
        <v>1952</v>
      </c>
    </row>
    <row collapsed="false" customFormat="false" customHeight="false" hidden="false" ht="12.1" outlineLevel="0" r="200">
      <c r="A200" s="39" t="n">
        <v>45746</v>
      </c>
      <c r="B200" s="16" t="s">
        <v>887</v>
      </c>
      <c r="C200" s="16" t="s">
        <v>177</v>
      </c>
      <c r="D200" s="16" t="s">
        <v>178</v>
      </c>
      <c r="E200" s="6" t="n">
        <v>1000</v>
      </c>
      <c r="F200" s="7" t="n">
        <v>7</v>
      </c>
      <c r="G200" s="6" t="n">
        <v>11.26</v>
      </c>
      <c r="H200" s="6" t="n">
        <v>10</v>
      </c>
      <c r="I200" s="6" t="n">
        <v>78.82</v>
      </c>
      <c r="J200" s="6" t="n">
        <v>68.82</v>
      </c>
    </row>
    <row collapsed="false" customFormat="false" customHeight="false" hidden="false" ht="12.1" outlineLevel="0" r="201">
      <c r="A201" s="39" t="n">
        <v>45747</v>
      </c>
      <c r="B201" s="16" t="s">
        <v>887</v>
      </c>
      <c r="C201" s="16" t="s">
        <v>228</v>
      </c>
      <c r="D201" s="16" t="s">
        <v>229</v>
      </c>
      <c r="E201" s="6" t="n">
        <v>566.6899999999999</v>
      </c>
      <c r="F201" s="7" t="n">
        <v>7</v>
      </c>
      <c r="G201" s="6" t="n">
        <v>3.85</v>
      </c>
      <c r="H201" s="6" t="n">
        <v>4</v>
      </c>
      <c r="I201" s="6" t="n">
        <v>26.95</v>
      </c>
      <c r="J201" s="6" t="n">
        <v>22.95</v>
      </c>
    </row>
    <row collapsed="false" customFormat="false" customHeight="false" hidden="false" ht="12.1" outlineLevel="0" r="202">
      <c r="A202" s="39" t="n">
        <v>45748</v>
      </c>
      <c r="B202" s="16" t="s">
        <v>887</v>
      </c>
      <c r="C202" s="16" t="s">
        <v>150</v>
      </c>
      <c r="D202" s="16" t="s">
        <v>151</v>
      </c>
      <c r="E202" s="6" t="n">
        <v>1000</v>
      </c>
      <c r="F202" s="7" t="n">
        <v>45</v>
      </c>
      <c r="G202" s="6" t="n">
        <v>38.39</v>
      </c>
      <c r="H202" s="6" t="n">
        <v>225</v>
      </c>
      <c r="I202" s="6" t="n">
        <v>1727.55</v>
      </c>
      <c r="J202" s="6" t="n">
        <v>1502.55</v>
      </c>
    </row>
    <row collapsed="false" customFormat="false" customHeight="false" hidden="false" ht="12.1" outlineLevel="0" r="203">
      <c r="A203" s="39" t="n">
        <v>45748</v>
      </c>
      <c r="B203" s="16" t="s">
        <v>887</v>
      </c>
      <c r="C203" s="16" t="s">
        <v>237</v>
      </c>
      <c r="D203" s="16" t="s">
        <v>238</v>
      </c>
      <c r="E203" s="6" t="n">
        <v>360.06</v>
      </c>
      <c r="F203" s="7" t="n">
        <v>10</v>
      </c>
      <c r="G203" s="6" t="n">
        <v>3.36</v>
      </c>
      <c r="H203" s="6" t="n">
        <v>4</v>
      </c>
      <c r="I203" s="6" t="n">
        <v>33.6</v>
      </c>
      <c r="J203" s="6" t="n">
        <v>29.6</v>
      </c>
    </row>
    <row collapsed="false" customFormat="false" customHeight="false" hidden="false" ht="12.1" outlineLevel="0" r="204">
      <c r="A204" s="39" t="n">
        <v>45749</v>
      </c>
      <c r="B204" s="16" t="s">
        <v>887</v>
      </c>
      <c r="C204" s="16" t="s">
        <v>210</v>
      </c>
      <c r="D204" s="16" t="s">
        <v>211</v>
      </c>
      <c r="E204" s="6" t="n">
        <v>1000</v>
      </c>
      <c r="F204" s="7" t="n">
        <v>4</v>
      </c>
      <c r="G204" s="6" t="n">
        <v>29.42</v>
      </c>
      <c r="H204" s="6" t="n">
        <v>15</v>
      </c>
      <c r="I204" s="6" t="n">
        <v>117.68</v>
      </c>
      <c r="J204" s="6" t="n">
        <v>102.68</v>
      </c>
    </row>
    <row collapsed="false" customFormat="false" customHeight="false" hidden="false" ht="12.1" outlineLevel="0" r="205">
      <c r="A205" s="39" t="n">
        <v>45751</v>
      </c>
      <c r="B205" s="16" t="s">
        <v>887</v>
      </c>
      <c r="C205" s="16" t="s">
        <v>240</v>
      </c>
      <c r="D205" s="16" t="s">
        <v>241</v>
      </c>
      <c r="E205" s="6" t="n">
        <v>1000</v>
      </c>
      <c r="F205" s="7" t="n">
        <v>2</v>
      </c>
      <c r="G205" s="6" t="n">
        <v>10.68</v>
      </c>
      <c r="H205" s="6" t="n">
        <v>3</v>
      </c>
      <c r="I205" s="6" t="n">
        <v>21.36</v>
      </c>
      <c r="J205" s="6" t="n">
        <v>18.36</v>
      </c>
    </row>
    <row collapsed="false" customFormat="false" customHeight="false" hidden="false" ht="12.1" outlineLevel="0" r="206">
      <c r="A206" s="39" t="n">
        <v>45755</v>
      </c>
      <c r="B206" s="16" t="s">
        <v>887</v>
      </c>
      <c r="C206" s="16" t="s">
        <v>213</v>
      </c>
      <c r="D206" s="16" t="s">
        <v>214</v>
      </c>
      <c r="E206" s="6" t="n">
        <v>800</v>
      </c>
      <c r="F206" s="7" t="n">
        <v>10</v>
      </c>
      <c r="G206" s="6" t="n">
        <v>10.52</v>
      </c>
      <c r="H206" s="6" t="n">
        <v>14</v>
      </c>
      <c r="I206" s="6" t="n">
        <v>105.2</v>
      </c>
      <c r="J206" s="6" t="n">
        <v>91.2</v>
      </c>
    </row>
    <row collapsed="false" customFormat="false" customHeight="false" hidden="false" ht="12.1" outlineLevel="0" r="207">
      <c r="A207" s="39" t="n">
        <v>45757</v>
      </c>
      <c r="B207" s="16" t="s">
        <v>887</v>
      </c>
      <c r="C207" s="16" t="s">
        <v>615</v>
      </c>
      <c r="D207" s="16" t="s">
        <v>901</v>
      </c>
      <c r="E207" s="6" t="n">
        <v>1000</v>
      </c>
      <c r="F207" s="7" t="n">
        <v>5</v>
      </c>
      <c r="G207" s="6" t="n">
        <v>33.03</v>
      </c>
      <c r="H207" s="6" t="n">
        <v>21</v>
      </c>
      <c r="I207" s="6" t="n">
        <v>165.15</v>
      </c>
      <c r="J207" s="6" t="n">
        <v>144.15</v>
      </c>
    </row>
    <row collapsed="false" customFormat="false" customHeight="false" hidden="false" ht="12.1" outlineLevel="0" r="208">
      <c r="A208" s="39" t="n">
        <v>45769</v>
      </c>
      <c r="B208" s="16" t="s">
        <v>887</v>
      </c>
      <c r="C208" s="16" t="s">
        <v>147</v>
      </c>
      <c r="D208" s="16" t="s">
        <v>148</v>
      </c>
      <c r="E208" s="6" t="n">
        <v>1000</v>
      </c>
      <c r="F208" s="7" t="n">
        <v>8</v>
      </c>
      <c r="G208" s="6" t="n">
        <v>11.18</v>
      </c>
      <c r="H208" s="6" t="n">
        <v>12</v>
      </c>
      <c r="I208" s="6" t="n">
        <v>89.44</v>
      </c>
      <c r="J208" s="6" t="n">
        <v>77.44</v>
      </c>
    </row>
    <row collapsed="false" customFormat="false" customHeight="false" hidden="false" ht="12.1" outlineLevel="0" r="209">
      <c r="A209" s="39" t="n">
        <v>45770</v>
      </c>
      <c r="B209" s="16" t="s">
        <v>887</v>
      </c>
      <c r="C209" s="16" t="s">
        <v>604</v>
      </c>
      <c r="D209" s="16" t="s">
        <v>895</v>
      </c>
      <c r="E209" s="6" t="n">
        <v>1000</v>
      </c>
      <c r="F209" s="7" t="n">
        <v>4</v>
      </c>
      <c r="G209" s="6" t="n">
        <v>44.88</v>
      </c>
      <c r="H209" s="6" t="n">
        <v>23</v>
      </c>
      <c r="I209" s="6" t="n">
        <v>179.52</v>
      </c>
      <c r="J209" s="6" t="n">
        <v>156.52</v>
      </c>
    </row>
    <row collapsed="false" customFormat="false" customHeight="false" hidden="false" ht="12.1" outlineLevel="0" r="210">
      <c r="A210" s="39" t="n">
        <v>45770</v>
      </c>
      <c r="B210" s="16" t="s">
        <v>887</v>
      </c>
      <c r="C210" s="16" t="s">
        <v>180</v>
      </c>
      <c r="D210" s="16" t="s">
        <v>181</v>
      </c>
      <c r="E210" s="6" t="n">
        <v>1000</v>
      </c>
      <c r="F210" s="7" t="n">
        <v>12</v>
      </c>
      <c r="G210" s="6" t="n">
        <v>16.83</v>
      </c>
      <c r="H210" s="6" t="n">
        <v>26</v>
      </c>
      <c r="I210" s="6" t="n">
        <v>201.96</v>
      </c>
      <c r="J210" s="6" t="n">
        <v>175.96</v>
      </c>
    </row>
    <row collapsed="false" customFormat="false" customHeight="false" hidden="false" ht="12.1" outlineLevel="0" r="211">
      <c r="A211" s="39" t="n">
        <v>45776</v>
      </c>
      <c r="B211" s="16" t="s">
        <v>887</v>
      </c>
      <c r="C211" s="16" t="s">
        <v>177</v>
      </c>
      <c r="D211" s="16" t="s">
        <v>178</v>
      </c>
      <c r="E211" s="6" t="n">
        <v>1000</v>
      </c>
      <c r="F211" s="7" t="n">
        <v>7</v>
      </c>
      <c r="G211" s="6" t="n">
        <v>11.26</v>
      </c>
      <c r="H211" s="6" t="n">
        <v>10</v>
      </c>
      <c r="I211" s="6" t="n">
        <v>78.82</v>
      </c>
      <c r="J211" s="6" t="n">
        <v>68.82</v>
      </c>
    </row>
    <row collapsed="false" customFormat="false" customHeight="false" hidden="false" ht="12.1" outlineLevel="0" r="212">
      <c r="A212" s="39" t="n">
        <v>45777</v>
      </c>
      <c r="B212" s="16" t="s">
        <v>887</v>
      </c>
      <c r="C212" s="16" t="s">
        <v>228</v>
      </c>
      <c r="D212" s="16" t="s">
        <v>229</v>
      </c>
      <c r="E212" s="6" t="n">
        <v>530.1300000000001</v>
      </c>
      <c r="F212" s="7" t="n">
        <v>7</v>
      </c>
      <c r="G212" s="6" t="n">
        <v>3.49</v>
      </c>
      <c r="H212" s="6" t="n">
        <v>3</v>
      </c>
      <c r="I212" s="6" t="n">
        <v>24.43</v>
      </c>
      <c r="J212" s="6" t="n">
        <v>21.43</v>
      </c>
    </row>
    <row collapsed="false" customFormat="false" customHeight="false" hidden="false" ht="12.1" outlineLevel="0" r="213">
      <c r="A213" s="39" t="n">
        <v>45778</v>
      </c>
      <c r="B213" s="16" t="s">
        <v>887</v>
      </c>
      <c r="C213" s="16" t="s">
        <v>237</v>
      </c>
      <c r="D213" s="16" t="s">
        <v>238</v>
      </c>
      <c r="E213" s="6" t="n">
        <v>329.89</v>
      </c>
      <c r="F213" s="7" t="n">
        <v>10</v>
      </c>
      <c r="G213" s="6" t="n">
        <v>2.98</v>
      </c>
      <c r="H213" s="6" t="n">
        <v>4</v>
      </c>
      <c r="I213" s="6" t="n">
        <v>29.8</v>
      </c>
      <c r="J213" s="6" t="n">
        <v>25.8</v>
      </c>
    </row>
    <row collapsed="false" customFormat="false" customHeight="false" hidden="false" ht="12.1" outlineLevel="0" r="214">
      <c r="A214" s="39" t="n">
        <v>45778</v>
      </c>
      <c r="B214" s="16" t="s">
        <v>887</v>
      </c>
      <c r="C214" s="16" t="s">
        <v>195</v>
      </c>
      <c r="D214" s="16" t="s">
        <v>196</v>
      </c>
      <c r="E214" s="6" t="n">
        <v>1000</v>
      </c>
      <c r="F214" s="7" t="n">
        <v>5</v>
      </c>
      <c r="G214" s="6" t="n">
        <v>39.89</v>
      </c>
      <c r="H214" s="6" t="n">
        <v>26</v>
      </c>
      <c r="I214" s="6" t="n">
        <v>199.45</v>
      </c>
      <c r="J214" s="6" t="n">
        <v>173.45</v>
      </c>
    </row>
    <row collapsed="false" customFormat="false" customHeight="false" hidden="false" ht="12.1" outlineLevel="0" r="215">
      <c r="A215" s="39" t="n">
        <v>45781</v>
      </c>
      <c r="B215" s="16" t="s">
        <v>887</v>
      </c>
      <c r="C215" s="16" t="s">
        <v>240</v>
      </c>
      <c r="D215" s="16" t="s">
        <v>241</v>
      </c>
      <c r="E215" s="6" t="n">
        <v>1000</v>
      </c>
      <c r="F215" s="7" t="n">
        <v>2</v>
      </c>
      <c r="G215" s="6" t="n">
        <v>10.68</v>
      </c>
      <c r="H215" s="6" t="n">
        <v>3</v>
      </c>
      <c r="I215" s="6" t="n">
        <v>21.36</v>
      </c>
      <c r="J215" s="6" t="n">
        <v>18.36</v>
      </c>
    </row>
    <row collapsed="false" customFormat="false" customHeight="false" hidden="false" ht="12.1" outlineLevel="0" r="216">
      <c r="A216" s="39" t="n">
        <v>45785</v>
      </c>
      <c r="B216" s="16" t="s">
        <v>887</v>
      </c>
      <c r="C216" s="16" t="s">
        <v>213</v>
      </c>
      <c r="D216" s="16" t="s">
        <v>214</v>
      </c>
      <c r="E216" s="6" t="n">
        <v>760</v>
      </c>
      <c r="F216" s="7" t="n">
        <v>10</v>
      </c>
      <c r="G216" s="6" t="n">
        <v>9.99</v>
      </c>
      <c r="H216" s="6" t="n">
        <v>13</v>
      </c>
      <c r="I216" s="6" t="n">
        <v>99.9</v>
      </c>
      <c r="J216" s="6" t="n">
        <v>86.9</v>
      </c>
    </row>
    <row collapsed="false" customFormat="false" customHeight="false" hidden="false" ht="12.1" outlineLevel="0" r="217">
      <c r="A217" s="39" t="n">
        <v>45790</v>
      </c>
      <c r="B217" s="16" t="s">
        <v>887</v>
      </c>
      <c r="C217" s="16" t="s">
        <v>609</v>
      </c>
      <c r="D217" s="16" t="s">
        <v>900</v>
      </c>
      <c r="E217" s="6" t="n">
        <v>1000</v>
      </c>
      <c r="F217" s="7" t="n">
        <v>10</v>
      </c>
      <c r="G217" s="6" t="n">
        <v>35.65</v>
      </c>
      <c r="H217" s="6" t="n">
        <v>46</v>
      </c>
      <c r="I217" s="6" t="n">
        <v>356.5</v>
      </c>
      <c r="J217" s="6" t="n">
        <v>310.5</v>
      </c>
    </row>
    <row collapsed="false" customFormat="false" customHeight="false" hidden="false" ht="12.1" outlineLevel="0" r="218">
      <c r="A218" s="39" t="n">
        <v>45791</v>
      </c>
      <c r="B218" s="16" t="s">
        <v>887</v>
      </c>
      <c r="C218" s="16" t="s">
        <v>219</v>
      </c>
      <c r="D218" s="16" t="s">
        <v>220</v>
      </c>
      <c r="E218" s="6" t="n">
        <v>800</v>
      </c>
      <c r="F218" s="7" t="n">
        <v>5</v>
      </c>
      <c r="G218" s="6" t="n">
        <v>31.91</v>
      </c>
      <c r="H218" s="6" t="n">
        <v>21</v>
      </c>
      <c r="I218" s="6" t="n">
        <v>159.55</v>
      </c>
      <c r="J218" s="6" t="n">
        <v>138.55</v>
      </c>
    </row>
    <row collapsed="false" customFormat="false" customHeight="false" hidden="false" ht="12.1" outlineLevel="0" r="219">
      <c r="A219" s="39" t="n">
        <v>45796</v>
      </c>
      <c r="B219" s="16" t="s">
        <v>887</v>
      </c>
      <c r="C219" s="16" t="s">
        <v>608</v>
      </c>
      <c r="D219" s="16" t="s">
        <v>896</v>
      </c>
      <c r="E219" s="6" t="n">
        <v>1000</v>
      </c>
      <c r="F219" s="7" t="n">
        <v>2</v>
      </c>
      <c r="G219" s="6" t="n">
        <v>47.37</v>
      </c>
      <c r="H219" s="6" t="n">
        <v>12</v>
      </c>
      <c r="I219" s="6" t="n">
        <v>94.74</v>
      </c>
      <c r="J219" s="6" t="n">
        <v>82.74</v>
      </c>
    </row>
    <row collapsed="false" customFormat="false" customHeight="false" hidden="false" ht="12.1" outlineLevel="0" r="220">
      <c r="A220" s="39" t="n">
        <v>45796</v>
      </c>
      <c r="B220" s="16" t="s">
        <v>887</v>
      </c>
      <c r="C220" s="16" t="s">
        <v>225</v>
      </c>
      <c r="D220" s="16" t="s">
        <v>226</v>
      </c>
      <c r="E220" s="6" t="n">
        <v>1000</v>
      </c>
      <c r="F220" s="7" t="n">
        <v>2</v>
      </c>
      <c r="G220" s="6" t="n">
        <v>88.51</v>
      </c>
      <c r="H220" s="6" t="n">
        <v>23</v>
      </c>
      <c r="I220" s="6" t="n">
        <v>177.02</v>
      </c>
      <c r="J220" s="6" t="n">
        <v>154.02</v>
      </c>
    </row>
    <row collapsed="false" customFormat="false" customHeight="false" hidden="false" ht="12.1" outlineLevel="0" r="221">
      <c r="A221" s="39" t="n">
        <v>45797</v>
      </c>
      <c r="B221" s="16" t="s">
        <v>887</v>
      </c>
      <c r="C221" s="16" t="s">
        <v>192</v>
      </c>
      <c r="D221" s="16" t="s">
        <v>193</v>
      </c>
      <c r="E221" s="6" t="n">
        <v>1000</v>
      </c>
      <c r="F221" s="7" t="n">
        <v>5</v>
      </c>
      <c r="G221" s="6" t="n">
        <v>34.16</v>
      </c>
      <c r="H221" s="6" t="n">
        <v>22</v>
      </c>
      <c r="I221" s="6" t="n">
        <v>170.8</v>
      </c>
      <c r="J221" s="6" t="n">
        <v>148.8</v>
      </c>
    </row>
    <row collapsed="false" customFormat="false" customHeight="false" hidden="false" ht="12.1" outlineLevel="0" r="222">
      <c r="A222" s="39" t="n">
        <v>45797</v>
      </c>
      <c r="B222" s="16" t="s">
        <v>887</v>
      </c>
      <c r="C222" s="16" t="s">
        <v>162</v>
      </c>
      <c r="D222" s="16" t="s">
        <v>163</v>
      </c>
      <c r="E222" s="6" t="n">
        <v>1000</v>
      </c>
      <c r="F222" s="7" t="n">
        <v>19</v>
      </c>
      <c r="G222" s="6" t="n">
        <v>32.16</v>
      </c>
      <c r="H222" s="6" t="n">
        <v>79</v>
      </c>
      <c r="I222" s="6" t="n">
        <v>611.04</v>
      </c>
      <c r="J222" s="6" t="n">
        <v>532.04</v>
      </c>
    </row>
    <row collapsed="false" customFormat="false" customHeight="false" hidden="false" ht="12.1" outlineLevel="0" r="223">
      <c r="A223" s="39" t="n">
        <v>45797</v>
      </c>
      <c r="B223" s="16" t="s">
        <v>887</v>
      </c>
      <c r="C223" s="16" t="s">
        <v>186</v>
      </c>
      <c r="D223" s="16" t="s">
        <v>187</v>
      </c>
      <c r="E223" s="6" t="n">
        <v>1000</v>
      </c>
      <c r="F223" s="7" t="n">
        <v>10</v>
      </c>
      <c r="G223" s="6" t="n">
        <v>28.42</v>
      </c>
      <c r="H223" s="6" t="n">
        <v>37</v>
      </c>
      <c r="I223" s="6" t="n">
        <v>284.2</v>
      </c>
      <c r="J223" s="6" t="n">
        <v>247.2</v>
      </c>
    </row>
    <row collapsed="false" customFormat="false" customHeight="false" hidden="false" ht="12.1" outlineLevel="0" r="224">
      <c r="A224" s="39" t="n">
        <v>45799</v>
      </c>
      <c r="B224" s="16" t="s">
        <v>887</v>
      </c>
      <c r="C224" s="16" t="s">
        <v>147</v>
      </c>
      <c r="D224" s="16" t="s">
        <v>148</v>
      </c>
      <c r="E224" s="6" t="n">
        <v>1000</v>
      </c>
      <c r="F224" s="7" t="n">
        <v>8</v>
      </c>
      <c r="G224" s="6" t="n">
        <v>11.18</v>
      </c>
      <c r="H224" s="6" t="n">
        <v>12</v>
      </c>
      <c r="I224" s="6" t="n">
        <v>89.44</v>
      </c>
      <c r="J224" s="6" t="n">
        <v>77.44</v>
      </c>
    </row>
    <row collapsed="false" customFormat="false" customHeight="false" hidden="false" ht="12.1" outlineLevel="0" r="225">
      <c r="A225" s="39" t="n">
        <v>45802</v>
      </c>
      <c r="B225" s="16" t="s">
        <v>887</v>
      </c>
      <c r="C225" s="16" t="s">
        <v>198</v>
      </c>
      <c r="D225" s="16" t="s">
        <v>199</v>
      </c>
      <c r="E225" s="6" t="n">
        <v>1000</v>
      </c>
      <c r="F225" s="7" t="n">
        <v>5</v>
      </c>
      <c r="G225" s="6" t="n">
        <v>59.84</v>
      </c>
      <c r="H225" s="6" t="n">
        <v>39</v>
      </c>
      <c r="I225" s="6" t="n">
        <v>299.2</v>
      </c>
      <c r="J225" s="6" t="n">
        <v>260.2</v>
      </c>
    </row>
    <row collapsed="false" customFormat="false" customHeight="false" hidden="false" ht="12.1" outlineLevel="0" r="226">
      <c r="A226" s="39" t="n">
        <v>45804</v>
      </c>
      <c r="B226" s="16" t="s">
        <v>887</v>
      </c>
      <c r="C226" s="16" t="s">
        <v>168</v>
      </c>
      <c r="D226" s="16" t="s">
        <v>169</v>
      </c>
      <c r="E226" s="6" t="n">
        <v>1000</v>
      </c>
      <c r="F226" s="7" t="n">
        <v>20</v>
      </c>
      <c r="G226" s="6" t="n">
        <v>61.08</v>
      </c>
      <c r="H226" s="6" t="n">
        <v>159</v>
      </c>
      <c r="I226" s="6" t="n">
        <v>1221.6</v>
      </c>
      <c r="J226" s="6" t="n">
        <v>1062.6</v>
      </c>
    </row>
    <row collapsed="false" customFormat="false" customHeight="false" hidden="false" ht="12.1" outlineLevel="0" r="227">
      <c r="A227" s="39" t="n">
        <v>45804</v>
      </c>
      <c r="B227" s="16" t="s">
        <v>887</v>
      </c>
      <c r="C227" s="16" t="s">
        <v>159</v>
      </c>
      <c r="D227" s="16" t="s">
        <v>160</v>
      </c>
      <c r="E227" s="6" t="n">
        <v>1000</v>
      </c>
      <c r="F227" s="7" t="n">
        <v>34</v>
      </c>
      <c r="G227" s="6" t="n">
        <v>47.37</v>
      </c>
      <c r="H227" s="6" t="n">
        <v>209</v>
      </c>
      <c r="I227" s="6" t="n">
        <v>1610.58</v>
      </c>
      <c r="J227" s="6" t="n">
        <v>1401.58</v>
      </c>
    </row>
    <row collapsed="false" customFormat="false" customHeight="false" hidden="false" ht="12.1" outlineLevel="0" r="228">
      <c r="A228" s="39" t="n">
        <v>45806</v>
      </c>
      <c r="B228" s="16" t="s">
        <v>887</v>
      </c>
      <c r="C228" s="16" t="s">
        <v>216</v>
      </c>
      <c r="D228" s="16" t="s">
        <v>217</v>
      </c>
      <c r="E228" s="6" t="n">
        <v>1000</v>
      </c>
      <c r="F228" s="7" t="n">
        <v>3</v>
      </c>
      <c r="G228" s="6" t="n">
        <v>24.81</v>
      </c>
      <c r="H228" s="6" t="n">
        <v>10</v>
      </c>
      <c r="I228" s="6" t="n">
        <v>74.43</v>
      </c>
      <c r="J228" s="6" t="n">
        <v>64.43</v>
      </c>
    </row>
    <row collapsed="false" customFormat="false" customHeight="false" hidden="false" ht="12.1" outlineLevel="0" r="229">
      <c r="A229" s="39" t="n">
        <v>45806</v>
      </c>
      <c r="B229" s="16" t="s">
        <v>887</v>
      </c>
      <c r="C229" s="16" t="s">
        <v>177</v>
      </c>
      <c r="D229" s="16" t="s">
        <v>178</v>
      </c>
      <c r="E229" s="6" t="n">
        <v>1000</v>
      </c>
      <c r="F229" s="7" t="n">
        <v>7</v>
      </c>
      <c r="G229" s="6" t="n">
        <v>11.26</v>
      </c>
      <c r="H229" s="6" t="n">
        <v>10</v>
      </c>
      <c r="I229" s="6" t="n">
        <v>78.82</v>
      </c>
      <c r="J229" s="6" t="n">
        <v>68.82</v>
      </c>
    </row>
    <row collapsed="false" customFormat="false" customHeight="false" hidden="false" ht="12.1" outlineLevel="0" r="230">
      <c r="A230" s="39" t="n">
        <v>45808</v>
      </c>
      <c r="B230" s="16" t="s">
        <v>887</v>
      </c>
      <c r="C230" s="16" t="s">
        <v>228</v>
      </c>
      <c r="D230" s="16" t="s">
        <v>229</v>
      </c>
      <c r="E230" s="6" t="n">
        <v>493.87</v>
      </c>
      <c r="F230" s="7" t="n">
        <v>7</v>
      </c>
      <c r="G230" s="6" t="n">
        <v>3.36</v>
      </c>
      <c r="H230" s="6" t="n">
        <v>3</v>
      </c>
      <c r="I230" s="6" t="n">
        <v>23.52</v>
      </c>
      <c r="J230" s="6" t="n">
        <v>20.52</v>
      </c>
    </row>
    <row collapsed="false" customFormat="false" customHeight="false" hidden="false" ht="12.1" outlineLevel="0" r="231">
      <c r="A231" s="39" t="n">
        <v>45809</v>
      </c>
      <c r="B231" s="16" t="s">
        <v>887</v>
      </c>
      <c r="C231" s="16" t="s">
        <v>237</v>
      </c>
      <c r="D231" s="16" t="s">
        <v>238</v>
      </c>
      <c r="E231" s="6" t="n">
        <v>298.99</v>
      </c>
      <c r="F231" s="7" t="n">
        <v>10</v>
      </c>
      <c r="G231" s="6" t="n">
        <v>2.79</v>
      </c>
      <c r="H231" s="6" t="n">
        <v>4</v>
      </c>
      <c r="I231" s="6" t="n">
        <v>27.9</v>
      </c>
      <c r="J231" s="6" t="n">
        <v>23.9</v>
      </c>
    </row>
    <row collapsed="false" customFormat="false" customHeight="false" hidden="false" ht="12.1" outlineLevel="0" r="232">
      <c r="A232" s="39" t="n">
        <v>45810</v>
      </c>
      <c r="B232" s="16" t="s">
        <v>887</v>
      </c>
      <c r="C232" s="16" t="s">
        <v>204</v>
      </c>
      <c r="D232" s="16" t="s">
        <v>205</v>
      </c>
      <c r="E232" s="6" t="n">
        <v>1000</v>
      </c>
      <c r="F232" s="7" t="n">
        <v>5</v>
      </c>
      <c r="G232" s="6" t="n">
        <v>56.1</v>
      </c>
      <c r="H232" s="6" t="n">
        <v>36</v>
      </c>
      <c r="I232" s="6" t="n">
        <v>280.5</v>
      </c>
      <c r="J232" s="6" t="n">
        <v>244.5</v>
      </c>
    </row>
    <row collapsed="false" customFormat="false" customHeight="false" hidden="false" ht="12.1" outlineLevel="0" r="233">
      <c r="A233" s="39" t="n">
        <v>45811</v>
      </c>
      <c r="B233" s="16" t="s">
        <v>887</v>
      </c>
      <c r="C233" s="16" t="s">
        <v>141</v>
      </c>
      <c r="D233" s="16" t="s">
        <v>142</v>
      </c>
      <c r="E233" s="6" t="n">
        <v>1000</v>
      </c>
      <c r="F233" s="7" t="n">
        <v>53</v>
      </c>
      <c r="G233" s="6" t="n">
        <v>48.87</v>
      </c>
      <c r="H233" s="6" t="n">
        <v>337</v>
      </c>
      <c r="I233" s="6" t="n">
        <v>2590.11</v>
      </c>
      <c r="J233" s="6" t="n">
        <v>2253.11</v>
      </c>
    </row>
    <row collapsed="false" customFormat="false" customHeight="false" hidden="false" ht="12.1" outlineLevel="0" r="234">
      <c r="A234" s="39" t="n">
        <v>45811</v>
      </c>
      <c r="B234" s="16" t="s">
        <v>887</v>
      </c>
      <c r="C234" s="16" t="s">
        <v>165</v>
      </c>
      <c r="D234" s="16" t="s">
        <v>166</v>
      </c>
      <c r="E234" s="6" t="n">
        <v>1000</v>
      </c>
      <c r="F234" s="7" t="n">
        <v>20</v>
      </c>
      <c r="G234" s="6" t="n">
        <v>61.08</v>
      </c>
      <c r="H234" s="6" t="n">
        <v>159</v>
      </c>
      <c r="I234" s="6" t="n">
        <v>1221.6</v>
      </c>
      <c r="J234" s="6" t="n">
        <v>1062.6</v>
      </c>
    </row>
    <row collapsed="false" customFormat="false" customHeight="false" hidden="false" ht="12.1" outlineLevel="0" r="235">
      <c r="A235" s="39" t="n">
        <v>45811</v>
      </c>
      <c r="B235" s="16" t="s">
        <v>887</v>
      </c>
      <c r="C235" s="16" t="s">
        <v>134</v>
      </c>
      <c r="D235" s="16" t="s">
        <v>136</v>
      </c>
      <c r="E235" s="6" t="n">
        <v>1000</v>
      </c>
      <c r="F235" s="7" t="n">
        <v>88</v>
      </c>
      <c r="G235" s="6" t="n">
        <v>35.4</v>
      </c>
      <c r="H235" s="6" t="n">
        <v>405</v>
      </c>
      <c r="I235" s="6" t="n">
        <v>3115.2</v>
      </c>
      <c r="J235" s="6" t="n">
        <v>2710.2</v>
      </c>
    </row>
    <row collapsed="false" customFormat="false" customHeight="false" hidden="false" ht="12.1" outlineLevel="0" r="236">
      <c r="A236" s="39" t="n">
        <v>45815</v>
      </c>
      <c r="B236" s="16" t="s">
        <v>887</v>
      </c>
      <c r="C236" s="16" t="s">
        <v>213</v>
      </c>
      <c r="D236" s="16" t="s">
        <v>214</v>
      </c>
      <c r="E236" s="6" t="n">
        <v>720</v>
      </c>
      <c r="F236" s="7" t="n">
        <v>10</v>
      </c>
      <c r="G236" s="6" t="n">
        <v>9.47</v>
      </c>
      <c r="H236" s="6" t="n">
        <v>12</v>
      </c>
      <c r="I236" s="6" t="n">
        <v>94.7</v>
      </c>
      <c r="J236" s="6" t="n">
        <v>82.7</v>
      </c>
    </row>
    <row collapsed="false" customFormat="false" customHeight="false" hidden="false" ht="12.1" outlineLevel="0" r="237">
      <c r="A237" s="39" t="n">
        <v>45816</v>
      </c>
      <c r="B237" s="16" t="s">
        <v>887</v>
      </c>
      <c r="C237" s="16" t="s">
        <v>231</v>
      </c>
      <c r="D237" s="16" t="s">
        <v>232</v>
      </c>
      <c r="E237" s="6" t="n">
        <v>1000</v>
      </c>
      <c r="F237" s="7" t="n">
        <v>1</v>
      </c>
      <c r="G237" s="6" t="n">
        <v>81.78</v>
      </c>
      <c r="H237" s="6" t="n">
        <v>11</v>
      </c>
      <c r="I237" s="6" t="n">
        <v>81.78</v>
      </c>
      <c r="J237" s="6" t="n">
        <v>70.78</v>
      </c>
    </row>
    <row collapsed="false" customFormat="false" customHeight="false" hidden="false" ht="12.1" outlineLevel="0" r="238">
      <c r="A238" s="39" t="n">
        <v>45818</v>
      </c>
      <c r="B238" s="16" t="s">
        <v>887</v>
      </c>
      <c r="C238" s="16" t="s">
        <v>234</v>
      </c>
      <c r="D238" s="16" t="s">
        <v>235</v>
      </c>
      <c r="E238" s="6" t="n">
        <v>606.52</v>
      </c>
      <c r="F238" s="7" t="n">
        <v>1</v>
      </c>
      <c r="G238" s="6" t="n">
        <v>34.02</v>
      </c>
      <c r="H238" s="6" t="n">
        <v>4</v>
      </c>
      <c r="I238" s="6" t="n">
        <v>34.02</v>
      </c>
      <c r="J238" s="6" t="n">
        <v>30.02</v>
      </c>
    </row>
    <row collapsed="false" customFormat="false" customHeight="false" hidden="false" ht="12.1" outlineLevel="0" r="239">
      <c r="A239" s="39" t="n">
        <v>45820</v>
      </c>
      <c r="B239" s="16" t="s">
        <v>887</v>
      </c>
      <c r="C239" s="16" t="s">
        <v>171</v>
      </c>
      <c r="D239" s="16" t="s">
        <v>172</v>
      </c>
      <c r="E239" s="6" t="n">
        <v>1000</v>
      </c>
      <c r="F239" s="7" t="n">
        <v>20</v>
      </c>
      <c r="G239" s="6" t="n">
        <v>17.83</v>
      </c>
      <c r="H239" s="6" t="n">
        <v>46</v>
      </c>
      <c r="I239" s="6" t="n">
        <v>356.6</v>
      </c>
      <c r="J239" s="6" t="n">
        <v>310.6</v>
      </c>
    </row>
    <row collapsed="false" customFormat="false" customHeight="false" hidden="false" ht="12.1" outlineLevel="0" r="240">
      <c r="A240" s="39" t="n">
        <v>45829</v>
      </c>
      <c r="B240" s="16" t="s">
        <v>887</v>
      </c>
      <c r="C240" s="16" t="s">
        <v>147</v>
      </c>
      <c r="D240" s="16" t="s">
        <v>148</v>
      </c>
      <c r="E240" s="6" t="n">
        <v>1000</v>
      </c>
      <c r="F240" s="7" t="n">
        <v>8</v>
      </c>
      <c r="G240" s="6" t="n">
        <v>11.18</v>
      </c>
      <c r="H240" s="6" t="n">
        <v>12</v>
      </c>
      <c r="I240" s="6" t="n">
        <v>89.44</v>
      </c>
      <c r="J240" s="6" t="n">
        <v>77.44</v>
      </c>
    </row>
    <row collapsed="false" customFormat="false" customHeight="false" hidden="false" ht="12.1" outlineLevel="0" r="241">
      <c r="A241" s="39" t="n">
        <v>45831</v>
      </c>
      <c r="B241" s="16" t="s">
        <v>887</v>
      </c>
      <c r="C241" s="16" t="s">
        <v>603</v>
      </c>
      <c r="D241" s="16" t="s">
        <v>898</v>
      </c>
      <c r="E241" s="6" t="n">
        <v>1000</v>
      </c>
      <c r="F241" s="7" t="n">
        <v>2</v>
      </c>
      <c r="G241" s="6" t="n">
        <v>31.66</v>
      </c>
      <c r="H241" s="6" t="n">
        <v>8</v>
      </c>
      <c r="I241" s="6" t="n">
        <v>63.32</v>
      </c>
      <c r="J241" s="6" t="n">
        <v>55.32</v>
      </c>
    </row>
    <row collapsed="false" customFormat="false" customHeight="false" hidden="false" ht="12.1" outlineLevel="0" r="242">
      <c r="A242" s="39" t="n">
        <v>45836</v>
      </c>
      <c r="B242" s="16" t="s">
        <v>887</v>
      </c>
      <c r="C242" s="16" t="s">
        <v>177</v>
      </c>
      <c r="D242" s="16" t="s">
        <v>178</v>
      </c>
      <c r="E242" s="6" t="n">
        <v>1000</v>
      </c>
      <c r="F242" s="7" t="n">
        <v>7</v>
      </c>
      <c r="G242" s="6" t="n">
        <v>11.26</v>
      </c>
      <c r="H242" s="6" t="n">
        <v>10</v>
      </c>
      <c r="I242" s="6" t="n">
        <v>78.82</v>
      </c>
      <c r="J242" s="6" t="n">
        <v>68.82</v>
      </c>
    </row>
    <row collapsed="false" customFormat="false" customHeight="false" hidden="false" ht="12.1" outlineLevel="0" r="243">
      <c r="A243" s="39" t="n">
        <v>45838</v>
      </c>
      <c r="B243" s="16" t="s">
        <v>887</v>
      </c>
      <c r="C243" s="16" t="s">
        <v>228</v>
      </c>
      <c r="D243" s="16" t="s">
        <v>229</v>
      </c>
      <c r="E243" s="6" t="n">
        <v>458.91</v>
      </c>
      <c r="F243" s="7" t="n">
        <v>7</v>
      </c>
      <c r="G243" s="6" t="n">
        <v>3.02</v>
      </c>
      <c r="H243" s="6" t="n">
        <v>3</v>
      </c>
      <c r="I243" s="6" t="n">
        <v>21.14</v>
      </c>
      <c r="J243" s="6" t="n">
        <v>18.14</v>
      </c>
    </row>
    <row collapsed="false" customFormat="false" customHeight="false" hidden="false" ht="12.1" outlineLevel="0" r="244">
      <c r="A244" s="39" t="n">
        <v>45839</v>
      </c>
      <c r="B244" s="16" t="s">
        <v>887</v>
      </c>
      <c r="C244" s="16" t="s">
        <v>237</v>
      </c>
      <c r="D244" s="16" t="s">
        <v>238</v>
      </c>
      <c r="E244" s="6" t="n">
        <v>269.19</v>
      </c>
      <c r="F244" s="7" t="n">
        <v>10</v>
      </c>
      <c r="G244" s="6" t="n">
        <v>2.43</v>
      </c>
      <c r="H244" s="6" t="n">
        <v>3</v>
      </c>
      <c r="I244" s="6" t="n">
        <v>24.3</v>
      </c>
      <c r="J244" s="6" t="n">
        <v>21.3</v>
      </c>
    </row>
    <row collapsed="false" customFormat="false" customHeight="false" hidden="false" ht="12.1" outlineLevel="0" r="245">
      <c r="A245" s="39" t="n">
        <v>45840</v>
      </c>
      <c r="B245" s="16" t="s">
        <v>887</v>
      </c>
      <c r="C245" s="16" t="s">
        <v>210</v>
      </c>
      <c r="D245" s="16" t="s">
        <v>211</v>
      </c>
      <c r="E245" s="6" t="n">
        <v>1000</v>
      </c>
      <c r="F245" s="7" t="n">
        <v>4</v>
      </c>
      <c r="G245" s="6" t="n">
        <v>29.42</v>
      </c>
      <c r="H245" s="6" t="n">
        <v>15</v>
      </c>
      <c r="I245" s="6" t="n">
        <v>117.68</v>
      </c>
      <c r="J245" s="6" t="n">
        <v>102.68</v>
      </c>
    </row>
    <row collapsed="false" customFormat="false" customHeight="false" hidden="false" ht="12.1" outlineLevel="0" r="246">
      <c r="A246" s="39" t="n">
        <v>45845</v>
      </c>
      <c r="B246" s="16" t="s">
        <v>887</v>
      </c>
      <c r="C246" s="16" t="s">
        <v>213</v>
      </c>
      <c r="D246" s="16" t="s">
        <v>214</v>
      </c>
      <c r="E246" s="6" t="n">
        <v>680</v>
      </c>
      <c r="F246" s="7" t="n">
        <v>10</v>
      </c>
      <c r="G246" s="6" t="n">
        <v>8.94</v>
      </c>
      <c r="H246" s="6" t="n">
        <v>12</v>
      </c>
      <c r="I246" s="6" t="n">
        <v>89.4</v>
      </c>
      <c r="J246" s="6" t="n">
        <v>77.4</v>
      </c>
    </row>
    <row collapsed="false" customFormat="false" customHeight="false" hidden="false" ht="12.1" outlineLevel="0" r="247">
      <c r="A247" s="39" t="n">
        <v>45848</v>
      </c>
      <c r="B247" s="16" t="s">
        <v>887</v>
      </c>
      <c r="C247" s="16" t="s">
        <v>615</v>
      </c>
      <c r="D247" s="16" t="s">
        <v>901</v>
      </c>
      <c r="E247" s="6" t="n">
        <v>1000</v>
      </c>
      <c r="F247" s="7" t="n">
        <v>5</v>
      </c>
      <c r="G247" s="6" t="n">
        <v>33.03</v>
      </c>
      <c r="H247" s="6" t="n">
        <v>21</v>
      </c>
      <c r="I247" s="6" t="n">
        <v>165.15</v>
      </c>
      <c r="J247" s="6" t="n">
        <v>144.15</v>
      </c>
    </row>
    <row collapsed="false" customFormat="false" customHeight="false" hidden="false" ht="12.1" outlineLevel="0" r="248">
      <c r="A248" s="39" t="n">
        <v>45859</v>
      </c>
      <c r="B248" s="16" t="s">
        <v>887</v>
      </c>
      <c r="C248" s="16" t="s">
        <v>147</v>
      </c>
      <c r="D248" s="16" t="s">
        <v>148</v>
      </c>
      <c r="E248" s="6" t="n">
        <v>1000</v>
      </c>
      <c r="F248" s="7" t="n">
        <v>8</v>
      </c>
      <c r="G248" s="6" t="n">
        <v>11.18</v>
      </c>
      <c r="H248" s="6" t="n">
        <v>12</v>
      </c>
      <c r="I248" s="6" t="n">
        <v>89.44</v>
      </c>
      <c r="J248" s="6" t="n">
        <v>77.44</v>
      </c>
    </row>
    <row collapsed="false" customFormat="false" customHeight="false" hidden="false" ht="12.1" outlineLevel="0" r="249">
      <c r="A249" s="39" t="n">
        <v>45861</v>
      </c>
      <c r="B249" s="16" t="s">
        <v>887</v>
      </c>
      <c r="C249" s="16" t="s">
        <v>604</v>
      </c>
      <c r="D249" s="16" t="s">
        <v>895</v>
      </c>
      <c r="E249" s="6" t="n">
        <v>1000</v>
      </c>
      <c r="F249" s="7" t="n">
        <v>4</v>
      </c>
      <c r="G249" s="6" t="n">
        <v>79.78</v>
      </c>
      <c r="H249" s="6" t="n">
        <v>41</v>
      </c>
      <c r="I249" s="6" t="n">
        <v>319.12</v>
      </c>
      <c r="J249" s="6" t="n">
        <v>278.12</v>
      </c>
    </row>
    <row collapsed="false" customFormat="false" customHeight="false" hidden="false" ht="12.1" outlineLevel="0" r="250">
      <c r="A250" s="39" t="n">
        <v>45861</v>
      </c>
      <c r="B250" s="16" t="s">
        <v>887</v>
      </c>
      <c r="C250" s="16" t="s">
        <v>180</v>
      </c>
      <c r="D250" s="16" t="s">
        <v>181</v>
      </c>
      <c r="E250" s="6" t="n">
        <v>1000</v>
      </c>
      <c r="F250" s="7" t="n">
        <v>12</v>
      </c>
      <c r="G250" s="6" t="n">
        <v>16.83</v>
      </c>
      <c r="H250" s="6" t="n">
        <v>26</v>
      </c>
      <c r="I250" s="6" t="n">
        <v>201.96</v>
      </c>
      <c r="J250" s="6" t="n">
        <v>175.96</v>
      </c>
    </row>
    <row collapsed="false" customFormat="false" customHeight="false" hidden="false" ht="12.1" outlineLevel="0" r="251">
      <c r="A251" s="39" t="n">
        <v>45866</v>
      </c>
      <c r="B251" s="16" t="s">
        <v>887</v>
      </c>
      <c r="C251" s="16" t="s">
        <v>177</v>
      </c>
      <c r="D251" s="16" t="s">
        <v>178</v>
      </c>
      <c r="E251" s="6" t="n">
        <v>1000</v>
      </c>
      <c r="F251" s="7" t="n">
        <v>7</v>
      </c>
      <c r="G251" s="6" t="n">
        <v>11.26</v>
      </c>
      <c r="H251" s="6" t="n">
        <v>10</v>
      </c>
      <c r="I251" s="6" t="n">
        <v>78.82</v>
      </c>
      <c r="J251" s="6" t="n">
        <v>68.82</v>
      </c>
    </row>
    <row collapsed="false" customFormat="false" customHeight="false" hidden="false" ht="12.1" outlineLevel="0" r="252">
      <c r="A252" s="39" t="n">
        <v>45869</v>
      </c>
      <c r="B252" s="16" t="s">
        <v>887</v>
      </c>
      <c r="C252" s="16" t="s">
        <v>228</v>
      </c>
      <c r="D252" s="16" t="s">
        <v>229</v>
      </c>
      <c r="E252" s="6" t="n">
        <v>426.46000000000004</v>
      </c>
      <c r="F252" s="7" t="n">
        <v>7</v>
      </c>
      <c r="G252" s="6" t="n">
        <v>2.9</v>
      </c>
      <c r="H252" s="6" t="n">
        <v>3</v>
      </c>
      <c r="I252" s="6" t="n">
        <v>20.3</v>
      </c>
      <c r="J252" s="6" t="n">
        <v>17.3</v>
      </c>
    </row>
    <row collapsed="false" customFormat="false" customHeight="false" hidden="false" ht="12.1" outlineLevel="0" r="253">
      <c r="A253" s="39" t="n">
        <v>45869</v>
      </c>
      <c r="B253" s="16" t="s">
        <v>887</v>
      </c>
      <c r="C253" s="16" t="s">
        <v>195</v>
      </c>
      <c r="D253" s="16" t="s">
        <v>196</v>
      </c>
      <c r="E253" s="6" t="n">
        <v>1000</v>
      </c>
      <c r="F253" s="7" t="n">
        <v>5</v>
      </c>
      <c r="G253" s="6" t="n">
        <v>64.82</v>
      </c>
      <c r="H253" s="6" t="n">
        <v>42</v>
      </c>
      <c r="I253" s="6" t="n">
        <v>324.1</v>
      </c>
      <c r="J253" s="6" t="n">
        <v>282.1</v>
      </c>
    </row>
    <row collapsed="false" customFormat="false" customHeight="false" hidden="false" ht="12.1" outlineLevel="0" r="254">
      <c r="A254" s="39" t="n">
        <v>45870</v>
      </c>
      <c r="B254" s="16" t="s">
        <v>887</v>
      </c>
      <c r="C254" s="16" t="s">
        <v>237</v>
      </c>
      <c r="D254" s="16" t="s">
        <v>238</v>
      </c>
      <c r="E254" s="6" t="n">
        <v>239.57999999999998</v>
      </c>
      <c r="F254" s="7" t="n">
        <v>10</v>
      </c>
      <c r="G254" s="6" t="n">
        <v>2.24</v>
      </c>
      <c r="H254" s="6" t="n">
        <v>3</v>
      </c>
      <c r="I254" s="6" t="n">
        <v>22.4</v>
      </c>
      <c r="J254" s="6" t="n">
        <v>19.4</v>
      </c>
    </row>
    <row collapsed="false" customFormat="false" customHeight="false" hidden="false" ht="12.1" outlineLevel="0" r="255">
      <c r="A255" s="39" t="n">
        <v>45875</v>
      </c>
      <c r="B255" s="16" t="s">
        <v>887</v>
      </c>
      <c r="C255" s="16" t="s">
        <v>213</v>
      </c>
      <c r="D255" s="16" t="s">
        <v>214</v>
      </c>
      <c r="E255" s="6" t="n">
        <v>640</v>
      </c>
      <c r="F255" s="7" t="n">
        <v>10</v>
      </c>
      <c r="G255" s="6" t="n">
        <v>8.42</v>
      </c>
      <c r="H255" s="6" t="n">
        <v>11</v>
      </c>
      <c r="I255" s="6" t="n">
        <v>84.2</v>
      </c>
      <c r="J255" s="6" t="n">
        <v>73.2</v>
      </c>
    </row>
    <row collapsed="false" customFormat="false" customHeight="false" hidden="false" ht="12.1" outlineLevel="0" r="256">
      <c r="A256" s="39" t="n">
        <v>45881</v>
      </c>
      <c r="B256" s="16" t="s">
        <v>887</v>
      </c>
      <c r="C256" s="16" t="s">
        <v>138</v>
      </c>
      <c r="D256" s="16" t="s">
        <v>139</v>
      </c>
      <c r="E256" s="6" t="n">
        <v>1000</v>
      </c>
      <c r="F256" s="7" t="n">
        <v>80</v>
      </c>
      <c r="G256" s="6" t="n">
        <v>34.9</v>
      </c>
      <c r="H256" s="6" t="n">
        <v>363</v>
      </c>
      <c r="I256" s="6" t="n">
        <v>2792</v>
      </c>
      <c r="J256" s="6" t="n">
        <v>2429</v>
      </c>
    </row>
    <row collapsed="false" customFormat="false" customHeight="false" hidden="false" ht="12.1" outlineLevel="0" r="257">
      <c r="A257" s="39" t="n">
        <v>45882</v>
      </c>
      <c r="B257" s="16" t="s">
        <v>887</v>
      </c>
      <c r="C257" s="16" t="s">
        <v>219</v>
      </c>
      <c r="D257" s="16" t="s">
        <v>220</v>
      </c>
      <c r="E257" s="6" t="n">
        <v>800</v>
      </c>
      <c r="F257" s="7" t="n">
        <v>5</v>
      </c>
      <c r="G257" s="6" t="n">
        <v>31.91</v>
      </c>
      <c r="H257" s="6" t="n">
        <v>21</v>
      </c>
      <c r="I257" s="6" t="n">
        <v>159.55</v>
      </c>
      <c r="J257" s="6" t="n">
        <v>138.55</v>
      </c>
    </row>
    <row collapsed="false" customFormat="false" customHeight="false" hidden="false" ht="12.1" outlineLevel="0" r="258">
      <c r="A258" s="39" t="n">
        <v>45883</v>
      </c>
      <c r="B258" s="16" t="s">
        <v>887</v>
      </c>
      <c r="C258" s="16" t="s">
        <v>222</v>
      </c>
      <c r="D258" s="16" t="s">
        <v>223</v>
      </c>
      <c r="E258" s="6" t="n">
        <v>1000</v>
      </c>
      <c r="F258" s="7" t="n">
        <v>2</v>
      </c>
      <c r="G258" s="6" t="n">
        <v>66.32</v>
      </c>
      <c r="H258" s="6" t="n">
        <v>17</v>
      </c>
      <c r="I258" s="6" t="n">
        <v>132.64</v>
      </c>
      <c r="J258" s="6" t="n">
        <v>115.64</v>
      </c>
    </row>
    <row collapsed="false" customFormat="false" customHeight="false" hidden="false" ht="12.1" outlineLevel="0" r="259">
      <c r="A259" s="39" t="n">
        <v>45887</v>
      </c>
      <c r="B259" s="16" t="s">
        <v>887</v>
      </c>
      <c r="C259" s="16" t="s">
        <v>608</v>
      </c>
      <c r="D259" s="16" t="s">
        <v>896</v>
      </c>
      <c r="E259" s="6" t="n">
        <v>750</v>
      </c>
      <c r="F259" s="7" t="n">
        <v>2</v>
      </c>
      <c r="G259" s="6" t="n">
        <v>35.53</v>
      </c>
      <c r="H259" s="6" t="n">
        <v>9</v>
      </c>
      <c r="I259" s="6" t="n">
        <v>71.06</v>
      </c>
      <c r="J259" s="6" t="n">
        <v>62.06</v>
      </c>
    </row>
    <row collapsed="false" customFormat="false" customHeight="false" hidden="false" ht="12.1" outlineLevel="0" r="260">
      <c r="A260" s="39" t="n">
        <v>45888</v>
      </c>
      <c r="B260" s="16" t="s">
        <v>887</v>
      </c>
      <c r="C260" s="16" t="s">
        <v>192</v>
      </c>
      <c r="D260" s="16" t="s">
        <v>193</v>
      </c>
      <c r="E260" s="6" t="n">
        <v>1000</v>
      </c>
      <c r="F260" s="7" t="n">
        <v>5</v>
      </c>
      <c r="G260" s="6" t="n">
        <v>34.16</v>
      </c>
      <c r="H260" s="6" t="n">
        <v>22</v>
      </c>
      <c r="I260" s="6" t="n">
        <v>170.8</v>
      </c>
      <c r="J260" s="6" t="n">
        <v>148.8</v>
      </c>
    </row>
    <row collapsed="false" customFormat="false" customHeight="false" hidden="false" ht="12.1" outlineLevel="0" r="261">
      <c r="A261" s="39" t="n">
        <v>45888</v>
      </c>
      <c r="B261" s="16" t="s">
        <v>887</v>
      </c>
      <c r="C261" s="16" t="s">
        <v>162</v>
      </c>
      <c r="D261" s="16" t="s">
        <v>163</v>
      </c>
      <c r="E261" s="6" t="n">
        <v>1000</v>
      </c>
      <c r="F261" s="7" t="n">
        <v>19</v>
      </c>
      <c r="G261" s="6" t="n">
        <v>32.16</v>
      </c>
      <c r="H261" s="6" t="n">
        <v>79</v>
      </c>
      <c r="I261" s="6" t="n">
        <v>611.04</v>
      </c>
      <c r="J261" s="6" t="n">
        <v>532.04</v>
      </c>
    </row>
    <row collapsed="false" customFormat="false" customHeight="false" hidden="false" ht="12.1" outlineLevel="0" r="262">
      <c r="A262" s="39" t="n">
        <v>45889</v>
      </c>
      <c r="B262" s="16" t="s">
        <v>887</v>
      </c>
      <c r="C262" s="16" t="s">
        <v>147</v>
      </c>
      <c r="D262" s="16" t="s">
        <v>148</v>
      </c>
      <c r="E262" s="6" t="n">
        <v>1000</v>
      </c>
      <c r="F262" s="7" t="n">
        <v>8</v>
      </c>
      <c r="G262" s="6" t="n">
        <v>11.18</v>
      </c>
      <c r="H262" s="6" t="n">
        <v>12</v>
      </c>
      <c r="I262" s="6" t="n">
        <v>89.44</v>
      </c>
      <c r="J262" s="6" t="n">
        <v>77.44</v>
      </c>
    </row>
    <row collapsed="false" customFormat="false" customHeight="false" hidden="false" ht="12.1" outlineLevel="0" r="263">
      <c r="A263" s="39" t="n">
        <v>45893</v>
      </c>
      <c r="B263" s="16" t="s">
        <v>887</v>
      </c>
      <c r="C263" s="16" t="s">
        <v>198</v>
      </c>
      <c r="D263" s="16" t="s">
        <v>199</v>
      </c>
      <c r="E263" s="6" t="n">
        <v>1000</v>
      </c>
      <c r="F263" s="7" t="n">
        <v>5</v>
      </c>
      <c r="G263" s="6" t="n">
        <v>59.84</v>
      </c>
      <c r="H263" s="6" t="n">
        <v>39</v>
      </c>
      <c r="I263" s="6" t="n">
        <v>299.2</v>
      </c>
      <c r="J263" s="6" t="n">
        <v>260.2</v>
      </c>
    </row>
    <row collapsed="false" customFormat="false" customHeight="false" hidden="false" ht="12.1" outlineLevel="0" r="264">
      <c r="A264" s="39" t="n">
        <v>45896</v>
      </c>
      <c r="B264" s="16" t="s">
        <v>887</v>
      </c>
      <c r="C264" s="16" t="s">
        <v>177</v>
      </c>
      <c r="D264" s="16" t="s">
        <v>178</v>
      </c>
      <c r="E264" s="6" t="n">
        <v>1000</v>
      </c>
      <c r="F264" s="7" t="n">
        <v>7</v>
      </c>
      <c r="G264" s="6" t="n">
        <v>11.26</v>
      </c>
      <c r="H264" s="6" t="n">
        <v>10</v>
      </c>
      <c r="I264" s="6" t="n">
        <v>78.82</v>
      </c>
      <c r="J264" s="6" t="n">
        <v>68.82</v>
      </c>
    </row>
    <row collapsed="false" customFormat="false" customHeight="false" hidden="false" ht="12.1" outlineLevel="0" r="265">
      <c r="A265" s="39" t="n">
        <v>45897</v>
      </c>
      <c r="B265" s="16" t="s">
        <v>887</v>
      </c>
      <c r="C265" s="16" t="s">
        <v>216</v>
      </c>
      <c r="D265" s="16" t="s">
        <v>217</v>
      </c>
      <c r="E265" s="6" t="n">
        <v>1000</v>
      </c>
      <c r="F265" s="7" t="n">
        <v>3</v>
      </c>
      <c r="G265" s="6" t="n">
        <v>24.81</v>
      </c>
      <c r="H265" s="6" t="n">
        <v>10</v>
      </c>
      <c r="I265" s="6" t="n">
        <v>74.43</v>
      </c>
      <c r="J265" s="6" t="n">
        <v>64.43</v>
      </c>
    </row>
    <row collapsed="false" customFormat="false" customHeight="false" hidden="false" ht="12.1" outlineLevel="0" r="266">
      <c r="A266" s="39" t="n">
        <v>45900</v>
      </c>
      <c r="B266" s="16" t="s">
        <v>887</v>
      </c>
      <c r="C266" s="16" t="s">
        <v>228</v>
      </c>
      <c r="D266" s="16" t="s">
        <v>229</v>
      </c>
      <c r="E266" s="6" t="n">
        <v>393.65999999999997</v>
      </c>
      <c r="F266" s="7" t="n">
        <v>7</v>
      </c>
      <c r="G266" s="6" t="n">
        <v>2.67</v>
      </c>
      <c r="H266" s="6" t="n">
        <v>2</v>
      </c>
      <c r="I266" s="6" t="n">
        <v>18.69</v>
      </c>
      <c r="J266" s="6" t="n">
        <v>16.69</v>
      </c>
    </row>
    <row collapsed="false" customFormat="false" customHeight="false" hidden="false" ht="12.1" outlineLevel="0" r="267">
      <c r="A267" s="39" t="n">
        <v>45901</v>
      </c>
      <c r="B267" s="16" t="s">
        <v>887</v>
      </c>
      <c r="C267" s="16" t="s">
        <v>237</v>
      </c>
      <c r="D267" s="16" t="s">
        <v>238</v>
      </c>
      <c r="E267" s="6" t="n">
        <v>211.39000000000001</v>
      </c>
      <c r="F267" s="7" t="n">
        <v>10</v>
      </c>
      <c r="G267" s="6" t="n">
        <v>1.97</v>
      </c>
      <c r="H267" s="6" t="n">
        <v>3</v>
      </c>
      <c r="I267" s="6" t="n">
        <v>19.7</v>
      </c>
      <c r="J267" s="6" t="n">
        <v>16.7</v>
      </c>
    </row>
    <row collapsed="false" customFormat="false" customHeight="false" hidden="false" ht="12.1" outlineLevel="0" r="268">
      <c r="A268" s="39" t="n">
        <v>45902</v>
      </c>
      <c r="B268" s="16" t="s">
        <v>887</v>
      </c>
      <c r="C268" s="16" t="s">
        <v>207</v>
      </c>
      <c r="D268" s="16" t="s">
        <v>208</v>
      </c>
      <c r="E268" s="6" t="n">
        <v>1000</v>
      </c>
      <c r="F268" s="7" t="n">
        <v>5</v>
      </c>
      <c r="G268" s="6" t="n">
        <v>46.12</v>
      </c>
      <c r="H268" s="6" t="n">
        <v>30</v>
      </c>
      <c r="I268" s="6" t="n">
        <v>230.6</v>
      </c>
      <c r="J268" s="6" t="n">
        <v>200.6</v>
      </c>
    </row>
    <row collapsed="false" customFormat="false" customHeight="false" hidden="false" ht="12.1" outlineLevel="0" r="269">
      <c r="A269" s="39" t="n">
        <v>45905</v>
      </c>
      <c r="B269" s="16" t="s">
        <v>887</v>
      </c>
      <c r="C269" s="16" t="s">
        <v>213</v>
      </c>
      <c r="D269" s="16" t="s">
        <v>214</v>
      </c>
      <c r="E269" s="6" t="n">
        <v>600</v>
      </c>
      <c r="F269" s="7" t="n">
        <v>10</v>
      </c>
      <c r="G269" s="6" t="n">
        <v>7.89</v>
      </c>
      <c r="H269" s="6" t="n">
        <v>10</v>
      </c>
      <c r="I269" s="6" t="n">
        <v>78.9</v>
      </c>
      <c r="J269" s="6" t="n">
        <v>68.9</v>
      </c>
    </row>
    <row collapsed="false" customFormat="false" customHeight="false" hidden="false" ht="12.1" outlineLevel="0" r="270">
      <c r="A270" s="39" t="n">
        <v>45909</v>
      </c>
      <c r="B270" s="16" t="s">
        <v>887</v>
      </c>
      <c r="C270" s="16" t="s">
        <v>234</v>
      </c>
      <c r="D270" s="16" t="s">
        <v>235</v>
      </c>
      <c r="E270" s="6" t="n">
        <v>589.14</v>
      </c>
      <c r="F270" s="7" t="n">
        <v>1</v>
      </c>
      <c r="G270" s="6" t="n">
        <v>33.05</v>
      </c>
      <c r="H270" s="6" t="n">
        <v>4</v>
      </c>
      <c r="I270" s="6" t="n">
        <v>33.05</v>
      </c>
      <c r="J270" s="6" t="n">
        <v>29.05</v>
      </c>
    </row>
    <row collapsed="false" customFormat="false" customHeight="false" hidden="false" ht="12.1" outlineLevel="0" r="271">
      <c r="A271" s="39" t="n">
        <v>45911</v>
      </c>
      <c r="B271" s="16" t="s">
        <v>887</v>
      </c>
      <c r="C271" s="16" t="s">
        <v>171</v>
      </c>
      <c r="D271" s="16" t="s">
        <v>172</v>
      </c>
      <c r="E271" s="6" t="n">
        <v>1000</v>
      </c>
      <c r="F271" s="7" t="n">
        <v>20</v>
      </c>
      <c r="G271" s="6" t="n">
        <v>17.83</v>
      </c>
      <c r="H271" s="6" t="n">
        <v>46</v>
      </c>
      <c r="I271" s="6" t="n">
        <v>356.6</v>
      </c>
      <c r="J271" s="6" t="n">
        <v>310.6</v>
      </c>
    </row>
    <row collapsed="false" customFormat="false" customHeight="false" hidden="false" ht="12.1" outlineLevel="0" r="272">
      <c r="A272" s="39" t="n">
        <v>45916</v>
      </c>
      <c r="B272" s="16" t="s">
        <v>887</v>
      </c>
      <c r="C272" s="16" t="s">
        <v>156</v>
      </c>
      <c r="D272" s="16" t="s">
        <v>157</v>
      </c>
      <c r="E272" s="6" t="n">
        <v>1000</v>
      </c>
      <c r="F272" s="7" t="n">
        <v>34</v>
      </c>
      <c r="G272" s="6" t="n">
        <v>33.41</v>
      </c>
      <c r="H272" s="6" t="n">
        <v>148</v>
      </c>
      <c r="I272" s="6" t="n">
        <v>1135.94</v>
      </c>
      <c r="J272" s="6" t="n">
        <v>987.94</v>
      </c>
    </row>
    <row collapsed="false" customFormat="false" customHeight="false" hidden="false" ht="12.1" outlineLevel="0" r="273">
      <c r="A273" s="39" t="n">
        <v>45916</v>
      </c>
      <c r="B273" s="16" t="s">
        <v>887</v>
      </c>
      <c r="C273" s="16" t="s">
        <v>174</v>
      </c>
      <c r="D273" s="16" t="s">
        <v>175</v>
      </c>
      <c r="E273" s="6" t="n">
        <v>1000</v>
      </c>
      <c r="F273" s="7" t="n">
        <v>15</v>
      </c>
      <c r="G273" s="6" t="n">
        <v>38.64</v>
      </c>
      <c r="H273" s="6" t="n">
        <v>75</v>
      </c>
      <c r="I273" s="6" t="n">
        <v>579.6</v>
      </c>
      <c r="J273" s="6" t="n">
        <v>504.6</v>
      </c>
    </row>
    <row collapsed="false" customFormat="false" customHeight="false" hidden="false" ht="12.1" outlineLevel="0" r="274">
      <c r="A274" s="39" t="n">
        <v>45919</v>
      </c>
      <c r="B274" s="16" t="s">
        <v>887</v>
      </c>
      <c r="C274" s="16" t="s">
        <v>147</v>
      </c>
      <c r="D274" s="16" t="s">
        <v>148</v>
      </c>
      <c r="E274" s="6" t="n">
        <v>1000</v>
      </c>
      <c r="F274" s="7" t="n">
        <v>31</v>
      </c>
      <c r="G274" s="6" t="n">
        <v>11.18</v>
      </c>
      <c r="H274" s="6" t="n">
        <v>45</v>
      </c>
      <c r="I274" s="6" t="n">
        <v>346.58</v>
      </c>
      <c r="J274" s="6" t="n">
        <v>301.58</v>
      </c>
    </row>
    <row collapsed="false" customFormat="false" customHeight="false" hidden="false" ht="12.1" outlineLevel="0" r="275">
      <c r="A275" s="39" t="n">
        <v>45922</v>
      </c>
      <c r="B275" s="16" t="s">
        <v>887</v>
      </c>
      <c r="C275" s="16" t="s">
        <v>603</v>
      </c>
      <c r="D275" s="16" t="s">
        <v>898</v>
      </c>
      <c r="E275" s="6" t="n">
        <v>1000</v>
      </c>
      <c r="F275" s="7" t="n">
        <v>2</v>
      </c>
      <c r="G275" s="6" t="n">
        <v>31.66</v>
      </c>
      <c r="H275" s="6" t="n">
        <v>8</v>
      </c>
      <c r="I275" s="6" t="n">
        <v>63.32</v>
      </c>
      <c r="J275" s="6" t="n">
        <v>55.32</v>
      </c>
    </row>
    <row collapsed="false" customFormat="false" customHeight="false" hidden="false" ht="12.1" outlineLevel="0" r="276">
      <c r="A276" s="39" t="n">
        <v>45923</v>
      </c>
      <c r="B276" s="16" t="s">
        <v>887</v>
      </c>
      <c r="C276" s="16" t="s">
        <v>144</v>
      </c>
      <c r="D276" s="16" t="s">
        <v>145</v>
      </c>
      <c r="E276" s="6" t="n">
        <v>1000</v>
      </c>
      <c r="F276" s="7" t="n">
        <v>40</v>
      </c>
      <c r="G276" s="6" t="n">
        <v>56.1</v>
      </c>
      <c r="H276" s="6" t="n">
        <v>292</v>
      </c>
      <c r="I276" s="6" t="n">
        <v>2244</v>
      </c>
      <c r="J276" s="6" t="n">
        <v>1952</v>
      </c>
    </row>
    <row collapsed="false" customFormat="false" customHeight="false" hidden="false" ht="12.1" outlineLevel="0" r="277">
      <c r="A277" s="39" t="n">
        <v>45923</v>
      </c>
      <c r="B277" s="16" t="s">
        <v>887</v>
      </c>
      <c r="C277" s="16" t="s">
        <v>607</v>
      </c>
      <c r="D277" s="16" t="s">
        <v>899</v>
      </c>
      <c r="E277" s="6" t="n">
        <v>340</v>
      </c>
      <c r="F277" s="7" t="n">
        <v>2</v>
      </c>
      <c r="G277" s="6" t="n">
        <v>18.48</v>
      </c>
      <c r="H277" s="6" t="n">
        <v>5</v>
      </c>
      <c r="I277" s="6" t="n">
        <v>36.96</v>
      </c>
      <c r="J277" s="6" t="n">
        <v>31.96</v>
      </c>
    </row>
    <row collapsed="false" customFormat="false" customHeight="false" hidden="false" ht="12.1" outlineLevel="0" r="278">
      <c r="A278" s="39" t="n">
        <v>45923</v>
      </c>
      <c r="B278" s="16" t="s">
        <v>887</v>
      </c>
      <c r="C278" s="16" t="s">
        <v>153</v>
      </c>
      <c r="D278" s="16" t="s">
        <v>154</v>
      </c>
      <c r="E278" s="6" t="n">
        <v>1000</v>
      </c>
      <c r="F278" s="7" t="n">
        <v>34</v>
      </c>
      <c r="G278" s="6" t="n">
        <v>59.84</v>
      </c>
      <c r="H278" s="6" t="n">
        <v>264</v>
      </c>
      <c r="I278" s="6" t="n">
        <v>2034.56</v>
      </c>
      <c r="J278" s="6" t="n">
        <v>1770.56</v>
      </c>
    </row>
    <row collapsed="false" customFormat="false" customHeight="false" hidden="false" ht="12.1" outlineLevel="0" r="279">
      <c r="A279" s="39" t="n">
        <v>45926</v>
      </c>
      <c r="B279" s="16" t="s">
        <v>887</v>
      </c>
      <c r="C279" s="16" t="s">
        <v>177</v>
      </c>
      <c r="D279" s="16" t="s">
        <v>178</v>
      </c>
      <c r="E279" s="6" t="n">
        <v>1000</v>
      </c>
      <c r="F279" s="7" t="n">
        <v>7</v>
      </c>
      <c r="G279" s="6" t="n">
        <v>11.26</v>
      </c>
      <c r="H279" s="6" t="n">
        <v>10</v>
      </c>
      <c r="I279" s="6" t="n">
        <v>78.82</v>
      </c>
      <c r="J279" s="6" t="n">
        <v>68.82</v>
      </c>
    </row>
    <row collapsed="false" customFormat="false" customHeight="false" hidden="false" ht="12.1" outlineLevel="0" r="280">
      <c r="A280" s="39" t="n">
        <v>45930</v>
      </c>
      <c r="B280" s="16" t="s">
        <v>887</v>
      </c>
      <c r="C280" s="16" t="s">
        <v>150</v>
      </c>
      <c r="D280" s="16" t="s">
        <v>151</v>
      </c>
      <c r="E280" s="6" t="n">
        <v>1000</v>
      </c>
      <c r="F280" s="7" t="n">
        <v>45</v>
      </c>
      <c r="G280" s="6" t="n">
        <v>38.39</v>
      </c>
      <c r="H280" s="6" t="n">
        <v>225</v>
      </c>
      <c r="I280" s="6" t="n">
        <v>1727.55</v>
      </c>
      <c r="J280" s="6" t="n">
        <v>1502.55</v>
      </c>
    </row>
    <row collapsed="false" customFormat="false" customHeight="false" hidden="false" ht="12.1" outlineLevel="0" r="281">
      <c r="A281" s="39" t="n">
        <v>45930</v>
      </c>
      <c r="B281" s="16" t="s">
        <v>887</v>
      </c>
      <c r="C281" s="16" t="s">
        <v>228</v>
      </c>
      <c r="D281" s="16" t="s">
        <v>229</v>
      </c>
      <c r="E281" s="6" t="n">
        <v>362.02000000000004</v>
      </c>
      <c r="F281" s="7" t="n">
        <v>7</v>
      </c>
      <c r="G281" s="6" t="n">
        <v>2.38</v>
      </c>
      <c r="H281" s="6" t="n">
        <v>2</v>
      </c>
      <c r="I281" s="6" t="n">
        <v>16.66</v>
      </c>
      <c r="J281" s="6" t="n">
        <v>14.66</v>
      </c>
    </row>
    <row collapsed="false" customFormat="false" customHeight="false" hidden="false" ht="12.1" outlineLevel="0" r="282">
      <c r="A282" s="39" t="n">
        <v>45931</v>
      </c>
      <c r="B282" s="16" t="s">
        <v>887</v>
      </c>
      <c r="C282" s="16" t="s">
        <v>210</v>
      </c>
      <c r="D282" s="16" t="s">
        <v>211</v>
      </c>
      <c r="E282" s="6" t="n">
        <v>1000</v>
      </c>
      <c r="F282" s="7" t="n">
        <v>4</v>
      </c>
      <c r="G282" s="6" t="n">
        <v>29.42</v>
      </c>
      <c r="H282" s="6" t="n">
        <v>15</v>
      </c>
      <c r="I282" s="6" t="n">
        <v>117.68</v>
      </c>
      <c r="J282" s="6" t="n">
        <v>102.68</v>
      </c>
    </row>
    <row collapsed="false" customFormat="false" customHeight="false" hidden="false" ht="12.1" outlineLevel="0" r="283">
      <c r="A283" s="39" t="n">
        <v>45931</v>
      </c>
      <c r="B283" s="16" t="s">
        <v>887</v>
      </c>
      <c r="C283" s="16" t="s">
        <v>237</v>
      </c>
      <c r="D283" s="16" t="s">
        <v>238</v>
      </c>
      <c r="E283" s="6" t="n">
        <v>183.41</v>
      </c>
      <c r="F283" s="7" t="n">
        <v>10</v>
      </c>
      <c r="G283" s="6" t="n">
        <v>1.66</v>
      </c>
      <c r="H283" s="6" t="n">
        <v>2</v>
      </c>
      <c r="I283" s="6" t="n">
        <v>16.6</v>
      </c>
      <c r="J283" s="6" t="n">
        <v>14.6</v>
      </c>
    </row>
    <row collapsed="false" customFormat="false" customHeight="false" hidden="false" ht="12.1" outlineLevel="0" r="284">
      <c r="A284" s="39" t="n">
        <v>45935</v>
      </c>
      <c r="B284" s="16" t="s">
        <v>887</v>
      </c>
      <c r="C284" s="16" t="s">
        <v>213</v>
      </c>
      <c r="D284" s="16" t="s">
        <v>214</v>
      </c>
      <c r="E284" s="6" t="n">
        <v>560</v>
      </c>
      <c r="F284" s="7" t="n">
        <v>10</v>
      </c>
      <c r="G284" s="6" t="n">
        <v>7.36</v>
      </c>
      <c r="H284" s="6" t="n">
        <v>10</v>
      </c>
      <c r="I284" s="6" t="n">
        <v>73.6</v>
      </c>
      <c r="J284" s="6" t="n">
        <v>63.6</v>
      </c>
    </row>
    <row collapsed="false" customFormat="false" customHeight="false" hidden="false" ht="12.1" outlineLevel="0" r="285">
      <c r="A285" s="39" t="n">
        <v>45949</v>
      </c>
      <c r="B285" s="16" t="s">
        <v>887</v>
      </c>
      <c r="C285" s="16" t="s">
        <v>147</v>
      </c>
      <c r="D285" s="16" t="s">
        <v>148</v>
      </c>
      <c r="E285" s="6" t="n">
        <v>1000</v>
      </c>
      <c r="F285" s="7" t="n">
        <v>31</v>
      </c>
      <c r="G285" s="6" t="n">
        <v>11.18</v>
      </c>
      <c r="H285" s="6" t="n">
        <v>45</v>
      </c>
      <c r="I285" s="6" t="n">
        <v>346.58</v>
      </c>
      <c r="J285" s="6" t="n">
        <v>301.58</v>
      </c>
    </row>
    <row collapsed="false" customFormat="false" customHeight="false" hidden="false" ht="12.1" outlineLevel="0" r="286">
      <c r="A286" s="39" t="n">
        <v>45952</v>
      </c>
      <c r="B286" s="16" t="s">
        <v>887</v>
      </c>
      <c r="C286" s="16" t="s">
        <v>180</v>
      </c>
      <c r="D286" s="16" t="s">
        <v>181</v>
      </c>
      <c r="E286" s="6" t="n">
        <v>1000</v>
      </c>
      <c r="F286" s="7" t="n">
        <v>12</v>
      </c>
      <c r="G286" s="6" t="n">
        <v>16.83</v>
      </c>
      <c r="H286" s="6" t="n">
        <v>26</v>
      </c>
      <c r="I286" s="6" t="n">
        <v>201.96</v>
      </c>
      <c r="J286" s="6" t="n">
        <v>175.96</v>
      </c>
    </row>
    <row collapsed="false" customFormat="false" customHeight="false" hidden="false" ht="12.1" outlineLevel="0" r="287">
      <c r="A287" s="39" t="n">
        <v>45956</v>
      </c>
      <c r="B287" s="16" t="s">
        <v>887</v>
      </c>
      <c r="C287" s="16" t="s">
        <v>177</v>
      </c>
      <c r="D287" s="16" t="s">
        <v>178</v>
      </c>
      <c r="E287" s="6" t="n">
        <v>1000</v>
      </c>
      <c r="F287" s="7" t="n">
        <v>7</v>
      </c>
      <c r="G287" s="6" t="n">
        <v>11.26</v>
      </c>
      <c r="H287" s="6" t="n">
        <v>10</v>
      </c>
      <c r="I287" s="6" t="n">
        <v>78.82</v>
      </c>
      <c r="J287" s="6" t="n">
        <v>68.82</v>
      </c>
    </row>
    <row collapsed="false" customFormat="false" customHeight="false" hidden="false" ht="12.1" outlineLevel="0" r="288">
      <c r="A288" s="39" t="n">
        <v>45960</v>
      </c>
      <c r="B288" s="16" t="s">
        <v>887</v>
      </c>
      <c r="C288" s="16" t="s">
        <v>195</v>
      </c>
      <c r="D288" s="16" t="s">
        <v>196</v>
      </c>
      <c r="E288" s="6" t="n">
        <v>1000</v>
      </c>
      <c r="F288" s="7" t="n">
        <v>5</v>
      </c>
      <c r="G288" s="6" t="n">
        <v>64.82</v>
      </c>
      <c r="H288" s="6" t="n">
        <v>42</v>
      </c>
      <c r="I288" s="6" t="n">
        <v>324.1</v>
      </c>
      <c r="J288" s="6" t="n">
        <v>282.1</v>
      </c>
    </row>
    <row collapsed="false" customFormat="false" customHeight="false" hidden="false" ht="12.1" outlineLevel="0" r="289">
      <c r="A289" s="39" t="n">
        <v>45961</v>
      </c>
      <c r="B289" s="16" t="s">
        <v>887</v>
      </c>
      <c r="C289" s="16" t="s">
        <v>228</v>
      </c>
      <c r="D289" s="16" t="s">
        <v>229</v>
      </c>
      <c r="E289" s="6" t="n">
        <v>333.15</v>
      </c>
      <c r="F289" s="7" t="n">
        <v>7</v>
      </c>
      <c r="G289" s="6" t="n">
        <v>2.26</v>
      </c>
      <c r="H289" s="6" t="n">
        <v>2</v>
      </c>
      <c r="I289" s="6" t="n">
        <v>15.82</v>
      </c>
      <c r="J289" s="6" t="n">
        <v>13.82</v>
      </c>
    </row>
    <row collapsed="false" customFormat="false" customHeight="false" hidden="false" ht="12.1" outlineLevel="0" r="290">
      <c r="A290" s="39" t="n">
        <v>45962</v>
      </c>
      <c r="B290" s="16" t="s">
        <v>887</v>
      </c>
      <c r="C290" s="16" t="s">
        <v>237</v>
      </c>
      <c r="D290" s="16" t="s">
        <v>238</v>
      </c>
      <c r="E290" s="6" t="n">
        <v>157.78</v>
      </c>
      <c r="F290" s="7" t="n">
        <v>10</v>
      </c>
      <c r="G290" s="6" t="n">
        <v>1.47</v>
      </c>
      <c r="H290" s="6" t="n">
        <v>2</v>
      </c>
      <c r="I290" s="6" t="n">
        <v>14.7</v>
      </c>
      <c r="J290" s="6" t="n">
        <v>12.7</v>
      </c>
    </row>
    <row collapsed="false" customFormat="false" customHeight="false" hidden="false" ht="12.1" outlineLevel="0" r="291">
      <c r="A291" s="39" t="n">
        <v>45965</v>
      </c>
      <c r="B291" s="16" t="s">
        <v>887</v>
      </c>
      <c r="C291" s="16" t="s">
        <v>213</v>
      </c>
      <c r="D291" s="16" t="s">
        <v>214</v>
      </c>
      <c r="E291" s="6" t="n">
        <v>520</v>
      </c>
      <c r="F291" s="7" t="n">
        <v>10</v>
      </c>
      <c r="G291" s="6" t="n">
        <v>6.84</v>
      </c>
      <c r="H291" s="6" t="n">
        <v>9</v>
      </c>
      <c r="I291" s="6" t="n">
        <v>68.4</v>
      </c>
      <c r="J291" s="6" t="n">
        <v>59.4</v>
      </c>
    </row>
    <row collapsed="false" customFormat="false" customHeight="false" hidden="false" ht="12.1" outlineLevel="0" r="292">
      <c r="A292" s="39" t="n">
        <v>45972</v>
      </c>
      <c r="B292" s="16" t="s">
        <v>887</v>
      </c>
      <c r="C292" s="16" t="s">
        <v>609</v>
      </c>
      <c r="D292" s="16" t="s">
        <v>900</v>
      </c>
      <c r="E292" s="6" t="n">
        <v>1000</v>
      </c>
      <c r="F292" s="7" t="n">
        <v>10</v>
      </c>
      <c r="G292" s="6" t="n">
        <v>35.65</v>
      </c>
      <c r="H292" s="6" t="n">
        <v>46</v>
      </c>
      <c r="I292" s="6" t="n">
        <v>356.5</v>
      </c>
      <c r="J292" s="6" t="n">
        <v>310.5</v>
      </c>
    </row>
    <row collapsed="false" customFormat="false" customHeight="false" hidden="false" ht="12.1" outlineLevel="0" r="293">
      <c r="A293" s="39" t="n">
        <v>45973</v>
      </c>
      <c r="B293" s="16" t="s">
        <v>887</v>
      </c>
      <c r="C293" s="16" t="s">
        <v>219</v>
      </c>
      <c r="D293" s="16" t="s">
        <v>220</v>
      </c>
      <c r="E293" s="6" t="n">
        <v>800</v>
      </c>
      <c r="F293" s="7" t="n">
        <v>5</v>
      </c>
      <c r="G293" s="6" t="n">
        <v>31.91</v>
      </c>
      <c r="H293" s="6" t="n">
        <v>21</v>
      </c>
      <c r="I293" s="6" t="n">
        <v>159.55</v>
      </c>
      <c r="J293" s="6" t="n">
        <v>138.55</v>
      </c>
    </row>
    <row collapsed="false" customFormat="false" customHeight="false" hidden="false" ht="12.1" outlineLevel="0" r="294">
      <c r="A294" s="39" t="n">
        <v>45978</v>
      </c>
      <c r="B294" s="16" t="s">
        <v>887</v>
      </c>
      <c r="C294" s="16" t="s">
        <v>225</v>
      </c>
      <c r="D294" s="16" t="s">
        <v>226</v>
      </c>
      <c r="E294" s="6" t="n">
        <v>1000</v>
      </c>
      <c r="F294" s="7" t="n">
        <v>2</v>
      </c>
      <c r="G294" s="6" t="n">
        <v>83.47</v>
      </c>
      <c r="H294" s="6" t="n">
        <v>22</v>
      </c>
      <c r="I294" s="6" t="n">
        <v>166.94</v>
      </c>
      <c r="J294" s="6" t="n">
        <v>144.94</v>
      </c>
    </row>
    <row collapsed="false" customFormat="false" customHeight="false" hidden="false" ht="12.1" outlineLevel="0" r="295">
      <c r="A295" s="39" t="n">
        <v>45979</v>
      </c>
      <c r="B295" s="16" t="s">
        <v>887</v>
      </c>
      <c r="C295" s="16" t="s">
        <v>192</v>
      </c>
      <c r="D295" s="16" t="s">
        <v>193</v>
      </c>
      <c r="E295" s="6" t="n">
        <v>1000</v>
      </c>
      <c r="F295" s="7" t="n">
        <v>5</v>
      </c>
      <c r="G295" s="6" t="n">
        <v>34.16</v>
      </c>
      <c r="H295" s="6" t="n">
        <v>22</v>
      </c>
      <c r="I295" s="6" t="n">
        <v>170.8</v>
      </c>
      <c r="J295" s="6" t="n">
        <v>148.8</v>
      </c>
    </row>
    <row collapsed="false" customFormat="false" customHeight="false" hidden="false" ht="12.1" outlineLevel="0" r="296">
      <c r="A296" s="39" t="n">
        <v>45979</v>
      </c>
      <c r="B296" s="16" t="s">
        <v>887</v>
      </c>
      <c r="C296" s="16" t="s">
        <v>147</v>
      </c>
      <c r="D296" s="16" t="s">
        <v>148</v>
      </c>
      <c r="E296" s="6" t="n">
        <v>1000</v>
      </c>
      <c r="F296" s="7" t="n">
        <v>41</v>
      </c>
      <c r="G296" s="6" t="n">
        <v>11.18</v>
      </c>
      <c r="H296" s="6" t="n">
        <v>60</v>
      </c>
      <c r="I296" s="6" t="n">
        <v>458.38</v>
      </c>
      <c r="J296" s="6" t="n">
        <v>398.38</v>
      </c>
    </row>
    <row collapsed="false" customFormat="false" customHeight="false" hidden="false" ht="12.1" outlineLevel="0" r="297">
      <c r="A297" s="39" t="n">
        <v>45979</v>
      </c>
      <c r="B297" s="16" t="s">
        <v>887</v>
      </c>
      <c r="C297" s="16" t="s">
        <v>186</v>
      </c>
      <c r="D297" s="16" t="s">
        <v>187</v>
      </c>
      <c r="E297" s="6" t="n">
        <v>1000</v>
      </c>
      <c r="F297" s="7" t="n">
        <v>10</v>
      </c>
      <c r="G297" s="6" t="n">
        <v>28.42</v>
      </c>
      <c r="H297" s="6" t="n">
        <v>37</v>
      </c>
      <c r="I297" s="6" t="n">
        <v>284.2</v>
      </c>
      <c r="J297" s="6" t="n">
        <v>247.2</v>
      </c>
    </row>
    <row collapsed="false" customFormat="false" customHeight="false" hidden="false" ht="12.1" outlineLevel="0" r="298">
      <c r="A298" s="39" t="n">
        <v>45979</v>
      </c>
      <c r="B298" s="16" t="s">
        <v>887</v>
      </c>
      <c r="C298" s="16" t="s">
        <v>162</v>
      </c>
      <c r="D298" s="16" t="s">
        <v>163</v>
      </c>
      <c r="E298" s="6" t="n">
        <v>1000</v>
      </c>
      <c r="F298" s="7" t="n">
        <v>19</v>
      </c>
      <c r="G298" s="6" t="n">
        <v>32.16</v>
      </c>
      <c r="H298" s="6" t="n">
        <v>79</v>
      </c>
      <c r="I298" s="6" t="n">
        <v>611.04</v>
      </c>
      <c r="J298" s="6" t="n">
        <v>532.04</v>
      </c>
    </row>
    <row collapsed="false" customFormat="false" customHeight="false" hidden="false" ht="12.1" outlineLevel="0" r="299">
      <c r="A299" s="39" t="n">
        <v>45984</v>
      </c>
      <c r="B299" s="16" t="s">
        <v>887</v>
      </c>
      <c r="C299" s="16" t="s">
        <v>198</v>
      </c>
      <c r="D299" s="16" t="s">
        <v>199</v>
      </c>
      <c r="E299" s="6" t="n">
        <v>1000</v>
      </c>
      <c r="F299" s="7" t="n">
        <v>5</v>
      </c>
      <c r="G299" s="6" t="n">
        <v>59.84</v>
      </c>
      <c r="H299" s="6" t="n">
        <v>39</v>
      </c>
      <c r="I299" s="6" t="n">
        <v>299.2</v>
      </c>
      <c r="J299" s="6" t="n">
        <v>260.2</v>
      </c>
    </row>
    <row collapsed="false" customFormat="false" customHeight="false" hidden="false" ht="12.1" outlineLevel="0" r="300">
      <c r="A300" s="39" t="n">
        <v>45986</v>
      </c>
      <c r="B300" s="16" t="s">
        <v>887</v>
      </c>
      <c r="C300" s="16" t="s">
        <v>177</v>
      </c>
      <c r="D300" s="16" t="s">
        <v>178</v>
      </c>
      <c r="E300" s="6" t="n">
        <v>1000</v>
      </c>
      <c r="F300" s="7" t="n">
        <v>17</v>
      </c>
      <c r="G300" s="6" t="n">
        <v>11.26</v>
      </c>
      <c r="H300" s="6" t="n">
        <v>25</v>
      </c>
      <c r="I300" s="6" t="n">
        <v>191.42</v>
      </c>
      <c r="J300" s="6" t="n">
        <v>166.42</v>
      </c>
    </row>
    <row collapsed="false" customFormat="false" customHeight="false" hidden="false" ht="12.1" outlineLevel="0" r="301">
      <c r="A301" s="39" t="n">
        <v>45986</v>
      </c>
      <c r="B301" s="16" t="s">
        <v>887</v>
      </c>
      <c r="C301" s="16" t="s">
        <v>159</v>
      </c>
      <c r="D301" s="16" t="s">
        <v>160</v>
      </c>
      <c r="E301" s="6" t="n">
        <v>1000</v>
      </c>
      <c r="F301" s="7" t="n">
        <v>34</v>
      </c>
      <c r="G301" s="6" t="n">
        <v>47.37</v>
      </c>
      <c r="H301" s="6" t="n">
        <v>209</v>
      </c>
      <c r="I301" s="6" t="n">
        <v>1610.58</v>
      </c>
      <c r="J301" s="6" t="n">
        <v>1401.58</v>
      </c>
    </row>
    <row collapsed="false" customFormat="false" customHeight="false" hidden="false" ht="12.1" outlineLevel="0" r="302">
      <c r="A302" s="39" t="n">
        <v>45986</v>
      </c>
      <c r="B302" s="16" t="s">
        <v>887</v>
      </c>
      <c r="C302" s="16" t="s">
        <v>168</v>
      </c>
      <c r="D302" s="16" t="s">
        <v>169</v>
      </c>
      <c r="E302" s="6" t="n">
        <v>1000</v>
      </c>
      <c r="F302" s="7" t="n">
        <v>20</v>
      </c>
      <c r="G302" s="6" t="n">
        <v>61.08</v>
      </c>
      <c r="H302" s="6" t="n">
        <v>159</v>
      </c>
      <c r="I302" s="6" t="n">
        <v>1221.6</v>
      </c>
      <c r="J302" s="6" t="n">
        <v>1062.6</v>
      </c>
    </row>
    <row collapsed="false" customFormat="false" customHeight="false" hidden="false" ht="12.1" outlineLevel="0" r="303">
      <c r="A303" s="39" t="n">
        <v>45988</v>
      </c>
      <c r="B303" s="16" t="s">
        <v>887</v>
      </c>
      <c r="C303" s="16" t="s">
        <v>216</v>
      </c>
      <c r="D303" s="16" t="s">
        <v>217</v>
      </c>
      <c r="E303" s="6" t="n">
        <v>1000</v>
      </c>
      <c r="F303" s="7" t="n">
        <v>3</v>
      </c>
      <c r="G303" s="6" t="n">
        <v>24.81</v>
      </c>
      <c r="H303" s="6" t="n">
        <v>10</v>
      </c>
      <c r="I303" s="6" t="n">
        <v>74.43</v>
      </c>
      <c r="J303" s="6" t="n">
        <v>64.43</v>
      </c>
    </row>
    <row collapsed="false" customFormat="false" customHeight="false" hidden="false" ht="12.1" outlineLevel="0" r="304">
      <c r="A304" s="39" t="n">
        <v>45991</v>
      </c>
      <c r="B304" s="16" t="s">
        <v>887</v>
      </c>
      <c r="C304" s="16" t="s">
        <v>228</v>
      </c>
      <c r="D304" s="16" t="s">
        <v>229</v>
      </c>
      <c r="E304" s="6" t="n">
        <v>301.84</v>
      </c>
      <c r="F304" s="7" t="n">
        <v>7</v>
      </c>
      <c r="G304" s="6" t="n">
        <v>1.98</v>
      </c>
      <c r="H304" s="6" t="n">
        <v>2</v>
      </c>
      <c r="I304" s="6" t="n">
        <v>13.86</v>
      </c>
      <c r="J304" s="6" t="n">
        <v>11.86</v>
      </c>
    </row>
    <row collapsed="false" customFormat="false" customHeight="false" hidden="false" ht="12.1" outlineLevel="0" r="305">
      <c r="A305" s="39" t="n">
        <v>45992</v>
      </c>
      <c r="B305" s="16" t="s">
        <v>887</v>
      </c>
      <c r="C305" s="16" t="s">
        <v>237</v>
      </c>
      <c r="D305" s="16" t="s">
        <v>238</v>
      </c>
      <c r="E305" s="6" t="n">
        <v>129.72</v>
      </c>
      <c r="F305" s="7" t="n">
        <v>10</v>
      </c>
      <c r="G305" s="6" t="n">
        <v>1.17</v>
      </c>
      <c r="H305" s="6" t="n">
        <v>2</v>
      </c>
      <c r="I305" s="6" t="n">
        <v>11.7</v>
      </c>
      <c r="J305" s="6" t="n">
        <v>9.7</v>
      </c>
    </row>
    <row collapsed="false" customFormat="false" customHeight="false" hidden="false" ht="12.1" outlineLevel="0" r="306">
      <c r="A306" s="39" t="n">
        <v>45992</v>
      </c>
      <c r="B306" s="16" t="s">
        <v>887</v>
      </c>
      <c r="C306" s="16" t="s">
        <v>204</v>
      </c>
      <c r="D306" s="16" t="s">
        <v>205</v>
      </c>
      <c r="E306" s="6" t="n">
        <v>1000</v>
      </c>
      <c r="F306" s="7" t="n">
        <v>5</v>
      </c>
      <c r="G306" s="6" t="n">
        <v>56.1</v>
      </c>
      <c r="H306" s="6" t="n">
        <v>36</v>
      </c>
      <c r="I306" s="6" t="n">
        <v>280.5</v>
      </c>
      <c r="J306" s="6" t="n">
        <v>244.5</v>
      </c>
    </row>
    <row collapsed="false" customFormat="false" customHeight="false" hidden="false" ht="12.1" outlineLevel="0" r="307">
      <c r="A307" s="39" t="n">
        <v>45993</v>
      </c>
      <c r="B307" s="16" t="s">
        <v>887</v>
      </c>
      <c r="C307" s="16" t="s">
        <v>165</v>
      </c>
      <c r="D307" s="16" t="s">
        <v>166</v>
      </c>
      <c r="E307" s="6" t="n">
        <v>1000</v>
      </c>
      <c r="F307" s="7" t="n">
        <v>20</v>
      </c>
      <c r="G307" s="6" t="n">
        <v>61.08</v>
      </c>
      <c r="H307" s="6" t="n">
        <v>159</v>
      </c>
      <c r="I307" s="6" t="n">
        <v>1221.6</v>
      </c>
      <c r="J307" s="6" t="n">
        <v>1062.6</v>
      </c>
    </row>
    <row collapsed="false" customFormat="false" customHeight="false" hidden="false" ht="12.1" outlineLevel="0" r="308">
      <c r="A308" s="39" t="n">
        <v>45993</v>
      </c>
      <c r="B308" s="16" t="s">
        <v>887</v>
      </c>
      <c r="C308" s="16" t="s">
        <v>134</v>
      </c>
      <c r="D308" s="16" t="s">
        <v>136</v>
      </c>
      <c r="E308" s="6" t="n">
        <v>1000</v>
      </c>
      <c r="F308" s="7" t="n">
        <v>88</v>
      </c>
      <c r="G308" s="6" t="n">
        <v>35.4</v>
      </c>
      <c r="H308" s="6" t="n">
        <v>405</v>
      </c>
      <c r="I308" s="6" t="n">
        <v>3115.2</v>
      </c>
      <c r="J308" s="6" t="n">
        <v>2710.2</v>
      </c>
    </row>
    <row collapsed="false" customFormat="false" customHeight="false" hidden="false" ht="12.1" outlineLevel="0" r="309">
      <c r="A309" s="39" t="n">
        <v>45993</v>
      </c>
      <c r="B309" s="16" t="s">
        <v>887</v>
      </c>
      <c r="C309" s="16" t="s">
        <v>141</v>
      </c>
      <c r="D309" s="16" t="s">
        <v>142</v>
      </c>
      <c r="E309" s="6" t="n">
        <v>1000</v>
      </c>
      <c r="F309" s="7" t="n">
        <v>53</v>
      </c>
      <c r="G309" s="6" t="n">
        <v>48.87</v>
      </c>
      <c r="H309" s="6" t="n">
        <v>337</v>
      </c>
      <c r="I309" s="6" t="n">
        <v>2590.11</v>
      </c>
      <c r="J309" s="6" t="n">
        <v>2253.11</v>
      </c>
    </row>
    <row collapsed="false" customFormat="false" customHeight="false" hidden="false" ht="12.1" outlineLevel="0" r="310">
      <c r="A310" s="39" t="n">
        <v>45995</v>
      </c>
      <c r="B310" s="16" t="s">
        <v>887</v>
      </c>
      <c r="C310" s="16" t="s">
        <v>213</v>
      </c>
      <c r="D310" s="16" t="s">
        <v>214</v>
      </c>
      <c r="E310" s="6" t="n">
        <v>480</v>
      </c>
      <c r="F310" s="7" t="n">
        <v>10</v>
      </c>
      <c r="G310" s="6" t="n">
        <v>6.31</v>
      </c>
      <c r="H310" s="6" t="n">
        <v>8</v>
      </c>
      <c r="I310" s="6" t="n">
        <v>63.1</v>
      </c>
      <c r="J310" s="6" t="n">
        <v>55.1</v>
      </c>
    </row>
    <row collapsed="false" customFormat="false" customHeight="false" hidden="false" ht="12.1" outlineLevel="0" r="311">
      <c r="A311" s="39" t="n">
        <v>45998</v>
      </c>
      <c r="B311" s="16" t="s">
        <v>887</v>
      </c>
      <c r="C311" s="16" t="s">
        <v>231</v>
      </c>
      <c r="D311" s="16" t="s">
        <v>232</v>
      </c>
      <c r="E311" s="6" t="n">
        <v>1000</v>
      </c>
      <c r="F311" s="7" t="n">
        <v>1</v>
      </c>
      <c r="G311" s="6" t="n">
        <v>81.78</v>
      </c>
      <c r="H311" s="6" t="n">
        <v>11</v>
      </c>
      <c r="I311" s="6" t="n">
        <v>81.78</v>
      </c>
      <c r="J311" s="6" t="n">
        <v>70.78</v>
      </c>
    </row>
    <row collapsed="false" customFormat="false" customHeight="false" hidden="false" ht="12.1" outlineLevel="0" r="312">
      <c r="A312" s="39" t="n">
        <v>46000</v>
      </c>
      <c r="B312" s="16" t="s">
        <v>887</v>
      </c>
      <c r="C312" s="16" t="s">
        <v>234</v>
      </c>
      <c r="D312" s="16" t="s">
        <v>235</v>
      </c>
      <c r="E312" s="6" t="n">
        <v>571.23</v>
      </c>
      <c r="F312" s="7" t="n">
        <v>1</v>
      </c>
      <c r="G312" s="6" t="n">
        <v>27.77</v>
      </c>
      <c r="H312" s="6" t="n">
        <v>4</v>
      </c>
      <c r="I312" s="6" t="n">
        <v>27.77</v>
      </c>
      <c r="J312" s="6" t="n">
        <v>23.77</v>
      </c>
    </row>
    <row collapsed="false" customFormat="false" customHeight="false" hidden="false" ht="12.1" outlineLevel="0" r="313">
      <c r="A313" s="39" t="n">
        <v>46002</v>
      </c>
      <c r="B313" s="16" t="s">
        <v>887</v>
      </c>
      <c r="C313" s="16" t="s">
        <v>171</v>
      </c>
      <c r="D313" s="16" t="s">
        <v>172</v>
      </c>
      <c r="E313" s="6" t="n">
        <v>1000</v>
      </c>
      <c r="F313" s="7" t="n">
        <v>20</v>
      </c>
      <c r="G313" s="6" t="n">
        <v>17.83</v>
      </c>
      <c r="H313" s="6" t="n">
        <v>46</v>
      </c>
      <c r="I313" s="6" t="n">
        <v>356.6</v>
      </c>
      <c r="J313" s="6" t="n">
        <v>310.6</v>
      </c>
    </row>
    <row collapsed="false" customFormat="false" customHeight="false" hidden="false" ht="12.1" outlineLevel="0" r="314">
      <c r="A314" s="39" t="n">
        <v>46009</v>
      </c>
      <c r="B314" s="16" t="s">
        <v>887</v>
      </c>
      <c r="C314" s="16" t="s">
        <v>147</v>
      </c>
      <c r="D314" s="16" t="s">
        <v>148</v>
      </c>
      <c r="E314" s="6" t="n">
        <v>1000</v>
      </c>
      <c r="F314" s="7" t="n">
        <v>41</v>
      </c>
      <c r="G314" s="6" t="n">
        <v>11.18</v>
      </c>
      <c r="H314" s="6" t="n">
        <v>60</v>
      </c>
      <c r="I314" s="6" t="n">
        <v>458.38</v>
      </c>
      <c r="J314" s="6" t="n">
        <v>398.38</v>
      </c>
    </row>
    <row collapsed="false" customFormat="false" customHeight="false" hidden="false" ht="12.1" outlineLevel="0" r="315">
      <c r="A315" s="39" t="n">
        <v>46013</v>
      </c>
      <c r="B315" s="16" t="s">
        <v>887</v>
      </c>
      <c r="C315" s="16" t="s">
        <v>603</v>
      </c>
      <c r="D315" s="16" t="s">
        <v>898</v>
      </c>
      <c r="E315" s="6" t="n">
        <v>1000</v>
      </c>
      <c r="F315" s="7" t="n">
        <v>2</v>
      </c>
      <c r="G315" s="6" t="n">
        <v>31.66</v>
      </c>
      <c r="H315" s="6" t="n">
        <v>8</v>
      </c>
      <c r="I315" s="6" t="n">
        <v>63.32</v>
      </c>
      <c r="J315" s="6" t="n">
        <v>55.32</v>
      </c>
    </row>
    <row collapsed="false" customFormat="false" customHeight="false" hidden="false" ht="12.1" outlineLevel="0" r="316">
      <c r="A316" s="39" t="n">
        <v>46016</v>
      </c>
      <c r="B316" s="16" t="s">
        <v>887</v>
      </c>
      <c r="C316" s="16" t="s">
        <v>177</v>
      </c>
      <c r="D316" s="16" t="s">
        <v>178</v>
      </c>
      <c r="E316" s="6" t="n">
        <v>1000</v>
      </c>
      <c r="F316" s="7" t="n">
        <v>17</v>
      </c>
      <c r="G316" s="6" t="n">
        <v>11.26</v>
      </c>
      <c r="H316" s="6" t="n">
        <v>25</v>
      </c>
      <c r="I316" s="6" t="n">
        <v>191.42</v>
      </c>
      <c r="J316" s="6" t="n">
        <v>166.42</v>
      </c>
    </row>
    <row collapsed="false" customFormat="false" customHeight="false" hidden="false" ht="12.1" outlineLevel="0" r="317">
      <c r="A317" s="39" t="n">
        <v>46022</v>
      </c>
      <c r="B317" s="16" t="s">
        <v>887</v>
      </c>
      <c r="C317" s="16" t="s">
        <v>201</v>
      </c>
      <c r="D317" s="16" t="s">
        <v>202</v>
      </c>
      <c r="E317" s="6" t="n">
        <v>1000</v>
      </c>
      <c r="F317" s="7" t="n">
        <v>5</v>
      </c>
      <c r="G317" s="6" t="n">
        <v>17.47</v>
      </c>
      <c r="H317" s="6" t="n">
        <v>11</v>
      </c>
      <c r="I317" s="6" t="n">
        <v>87.35</v>
      </c>
      <c r="J317" s="6" t="n">
        <v>76.35</v>
      </c>
    </row>
    <row collapsed="false" customFormat="false" customHeight="false" hidden="false" ht="12.1" outlineLevel="0" r="318">
      <c r="A318" s="39" t="n">
        <v>46022</v>
      </c>
      <c r="B318" s="16" t="s">
        <v>887</v>
      </c>
      <c r="C318" s="16" t="s">
        <v>228</v>
      </c>
      <c r="D318" s="16" t="s">
        <v>229</v>
      </c>
      <c r="E318" s="6" t="n">
        <v>271.85999999999996</v>
      </c>
      <c r="F318" s="7" t="n">
        <v>7</v>
      </c>
      <c r="G318" s="6" t="n">
        <v>1.85</v>
      </c>
      <c r="H318" s="6" t="n">
        <v>2</v>
      </c>
      <c r="I318" s="6" t="n">
        <v>12.95</v>
      </c>
      <c r="J318" s="6" t="n">
        <v>10.95</v>
      </c>
    </row>
    <row collapsed="false" customFormat="false" customHeight="false" hidden="false" ht="12.1" outlineLevel="0" r="319">
      <c r="A319" s="39" t="n">
        <v>46022</v>
      </c>
      <c r="B319" s="16" t="s">
        <v>887</v>
      </c>
      <c r="C319" s="16" t="s">
        <v>210</v>
      </c>
      <c r="D319" s="16" t="s">
        <v>211</v>
      </c>
      <c r="E319" s="6" t="n">
        <v>1000</v>
      </c>
      <c r="F319" s="7" t="n">
        <v>4</v>
      </c>
      <c r="G319" s="6" t="n">
        <v>29.42</v>
      </c>
      <c r="H319" s="6" t="n">
        <v>15</v>
      </c>
      <c r="I319" s="6" t="n">
        <v>117.68</v>
      </c>
      <c r="J319" s="6" t="n">
        <v>102.68</v>
      </c>
    </row>
    <row collapsed="false" customFormat="false" customHeight="false" hidden="false" ht="12.1" outlineLevel="0" r="320">
      <c r="A320" s="39" t="n">
        <v>46022</v>
      </c>
      <c r="B320" s="16" t="s">
        <v>887</v>
      </c>
      <c r="C320" s="16" t="s">
        <v>240</v>
      </c>
      <c r="D320" s="16" t="s">
        <v>241</v>
      </c>
      <c r="E320" s="6" t="n">
        <v>0</v>
      </c>
      <c r="F320" s="7" t="n">
        <v>-2</v>
      </c>
      <c r="G320" s="6" t="n">
        <v>0.6</v>
      </c>
      <c r="H320" s="6" t="n">
        <v>-0</v>
      </c>
      <c r="I320" s="6" t="n">
        <v>-1.2</v>
      </c>
      <c r="J320" s="6" t="n">
        <v>-1.2</v>
      </c>
    </row>
    <row collapsed="false" customFormat="false" customHeight="false" hidden="false" ht="12.1" outlineLevel="0" r="321">
      <c r="A321" s="39" t="n">
        <v>46023</v>
      </c>
      <c r="B321" s="16" t="s">
        <v>887</v>
      </c>
      <c r="C321" s="16" t="s">
        <v>237</v>
      </c>
      <c r="D321" s="16" t="s">
        <v>238</v>
      </c>
      <c r="E321" s="6" t="n">
        <v>103.93</v>
      </c>
      <c r="F321" s="7" t="n">
        <v>10</v>
      </c>
      <c r="G321" s="6" t="n">
        <v>0.97</v>
      </c>
      <c r="H321" s="6" t="n">
        <v>1</v>
      </c>
      <c r="I321" s="6" t="n">
        <v>9.7</v>
      </c>
      <c r="J321" s="6" t="n">
        <v>8.7</v>
      </c>
    </row>
    <row collapsed="false" customFormat="false" customHeight="false" hidden="false" ht="12.1" outlineLevel="0" r="322">
      <c r="A322" s="39" t="n">
        <v>46025</v>
      </c>
      <c r="B322" s="16" t="s">
        <v>887</v>
      </c>
      <c r="C322" s="16" t="s">
        <v>213</v>
      </c>
      <c r="D322" s="16" t="s">
        <v>214</v>
      </c>
      <c r="E322" s="6" t="n">
        <v>440</v>
      </c>
      <c r="F322" s="7" t="n">
        <v>10</v>
      </c>
      <c r="G322" s="6" t="n">
        <v>5.79</v>
      </c>
      <c r="H322" s="6" t="n">
        <v>8</v>
      </c>
      <c r="I322" s="6" t="n">
        <v>57.9</v>
      </c>
      <c r="J322" s="6" t="n">
        <v>49.9</v>
      </c>
    </row>
    <row collapsed="false" customFormat="false" customHeight="false" hidden="false" ht="12.1" outlineLevel="0" r="323">
      <c r="A323" s="39" t="n">
        <v>46039</v>
      </c>
      <c r="B323" s="16" t="s">
        <v>887</v>
      </c>
      <c r="C323" s="16" t="s">
        <v>147</v>
      </c>
      <c r="D323" s="16" t="s">
        <v>148</v>
      </c>
      <c r="E323" s="6" t="n">
        <v>1000</v>
      </c>
      <c r="F323" s="7" t="n">
        <v>41</v>
      </c>
      <c r="G323" s="6" t="n">
        <v>11.18</v>
      </c>
      <c r="H323" s="6" t="n">
        <v>60</v>
      </c>
      <c r="I323" s="6" t="n">
        <v>458.38</v>
      </c>
      <c r="J323" s="6" t="n">
        <v>398.38</v>
      </c>
    </row>
    <row collapsed="false" customFormat="false" customHeight="false" hidden="false" ht="12.1" outlineLevel="0" r="324">
      <c r="A324" s="39" t="n">
        <v>46043</v>
      </c>
      <c r="B324" s="16" t="s">
        <v>887</v>
      </c>
      <c r="C324" s="16" t="s">
        <v>180</v>
      </c>
      <c r="D324" s="16" t="s">
        <v>181</v>
      </c>
      <c r="E324" s="6" t="n">
        <v>1000</v>
      </c>
      <c r="F324" s="7" t="n">
        <v>12</v>
      </c>
      <c r="G324" s="6" t="n">
        <v>16.83</v>
      </c>
      <c r="H324" s="6" t="n">
        <v>26</v>
      </c>
      <c r="I324" s="6" t="n">
        <v>201.96</v>
      </c>
      <c r="J324" s="6" t="n">
        <v>175.96</v>
      </c>
    </row>
    <row collapsed="false" customFormat="false" customHeight="false" hidden="false" ht="12.1" outlineLevel="0" r="325">
      <c r="A325" s="39" t="n">
        <v>46044</v>
      </c>
      <c r="B325" s="16" t="s">
        <v>887</v>
      </c>
      <c r="C325" s="16" t="s">
        <v>189</v>
      </c>
      <c r="D325" s="16" t="s">
        <v>190</v>
      </c>
      <c r="E325" s="6" t="n">
        <v>1000</v>
      </c>
      <c r="F325" s="7" t="n">
        <v>5</v>
      </c>
      <c r="G325" s="6" t="n">
        <v>19.73</v>
      </c>
      <c r="H325" s="6" t="n">
        <v>13</v>
      </c>
      <c r="I325" s="6" t="n">
        <v>98.65</v>
      </c>
      <c r="J325" s="6" t="n">
        <v>85.65</v>
      </c>
    </row>
    <row collapsed="false" customFormat="false" customHeight="false" hidden="false" ht="12.1" outlineLevel="0" r="326">
      <c r="A326" s="39" t="n">
        <v>46046</v>
      </c>
      <c r="B326" s="16" t="s">
        <v>887</v>
      </c>
      <c r="C326" s="16" t="s">
        <v>177</v>
      </c>
      <c r="D326" s="16" t="s">
        <v>178</v>
      </c>
      <c r="E326" s="6" t="n">
        <v>1000</v>
      </c>
      <c r="F326" s="7" t="n">
        <v>17</v>
      </c>
      <c r="G326" s="6" t="n">
        <v>11.26</v>
      </c>
      <c r="H326" s="6" t="n">
        <v>25</v>
      </c>
      <c r="I326" s="6" t="n">
        <v>191.42</v>
      </c>
      <c r="J326" s="6" t="n">
        <v>166.42</v>
      </c>
    </row>
    <row collapsed="false" customFormat="false" customHeight="false" hidden="false" ht="12.1" outlineLevel="0" r="327">
      <c r="A327" s="39" t="n">
        <v>46051</v>
      </c>
      <c r="B327" s="16" t="s">
        <v>887</v>
      </c>
      <c r="C327" s="16" t="s">
        <v>195</v>
      </c>
      <c r="D327" s="16" t="s">
        <v>196</v>
      </c>
      <c r="E327" s="6" t="n">
        <v>1000</v>
      </c>
      <c r="F327" s="7" t="n">
        <v>5</v>
      </c>
      <c r="G327" s="6" t="n">
        <v>64.82</v>
      </c>
      <c r="H327" s="6" t="n">
        <v>42</v>
      </c>
      <c r="I327" s="6" t="n">
        <v>324.1</v>
      </c>
      <c r="J327" s="6" t="n">
        <v>282.1</v>
      </c>
    </row>
    <row collapsed="false" customFormat="false" customHeight="false" hidden="false" ht="12.1" outlineLevel="0" r="328">
      <c r="A328" s="39" t="n">
        <v>46052</v>
      </c>
      <c r="B328" s="16" t="s">
        <v>887</v>
      </c>
      <c r="C328" s="16" t="s">
        <v>201</v>
      </c>
      <c r="D328" s="16" t="s">
        <v>202</v>
      </c>
      <c r="E328" s="6" t="n">
        <v>1000</v>
      </c>
      <c r="F328" s="7" t="n">
        <v>5</v>
      </c>
      <c r="G328" s="6" t="n">
        <v>17.47</v>
      </c>
      <c r="H328" s="6" t="n">
        <v>11</v>
      </c>
      <c r="I328" s="6" t="n">
        <v>87.35</v>
      </c>
      <c r="J328" s="6" t="n">
        <v>76.35</v>
      </c>
    </row>
    <row collapsed="false" customFormat="false" customHeight="false" hidden="false" ht="12.1" outlineLevel="0" r="329">
      <c r="A329" s="39" t="n">
        <v>46052</v>
      </c>
      <c r="B329" s="16" t="s">
        <v>887</v>
      </c>
      <c r="C329" s="16" t="s">
        <v>240</v>
      </c>
      <c r="D329" s="16" t="s">
        <v>241</v>
      </c>
      <c r="E329" s="6" t="n">
        <v>0</v>
      </c>
      <c r="F329" s="7" t="n">
        <v>-2</v>
      </c>
      <c r="G329" s="6" t="n">
        <v>8.22</v>
      </c>
      <c r="H329" s="6" t="n">
        <v>-2</v>
      </c>
      <c r="I329" s="6" t="n">
        <v>-16.44</v>
      </c>
      <c r="J329" s="6" t="n">
        <v>-14.44</v>
      </c>
    </row>
    <row collapsed="false" customFormat="false" customHeight="false" hidden="false" ht="12.1" outlineLevel="0" r="330">
      <c r="A330" s="39" t="n">
        <v>46053</v>
      </c>
      <c r="B330" s="16" t="s">
        <v>887</v>
      </c>
      <c r="C330" s="16" t="s">
        <v>228</v>
      </c>
      <c r="D330" s="16" t="s">
        <v>229</v>
      </c>
      <c r="E330" s="6" t="n">
        <v>243.18</v>
      </c>
      <c r="F330" s="7" t="n">
        <v>7</v>
      </c>
      <c r="G330" s="6" t="n">
        <v>1.65</v>
      </c>
      <c r="H330" s="6" t="n">
        <v>2</v>
      </c>
      <c r="I330" s="6" t="n">
        <v>11.55</v>
      </c>
      <c r="J330" s="6" t="n">
        <v>9.55</v>
      </c>
    </row>
    <row collapsed="false" customFormat="false" customHeight="false" hidden="false" ht="12.1" outlineLevel="0" r="331">
      <c r="A331" s="39" t="n">
        <v>46054</v>
      </c>
      <c r="B331" s="16" t="s">
        <v>887</v>
      </c>
      <c r="C331" s="16" t="s">
        <v>237</v>
      </c>
      <c r="D331" s="16" t="s">
        <v>238</v>
      </c>
      <c r="E331" s="6" t="n">
        <v>80.11000000000001</v>
      </c>
      <c r="F331" s="7" t="n">
        <v>10</v>
      </c>
      <c r="G331" s="6" t="n">
        <v>0.75</v>
      </c>
      <c r="H331" s="6" t="n">
        <v>1</v>
      </c>
      <c r="I331" s="6" t="n">
        <v>7.5</v>
      </c>
      <c r="J331" s="6" t="n">
        <v>6.5</v>
      </c>
    </row>
    <row collapsed="false" customFormat="false" customHeight="false" hidden="false" ht="12.1" outlineLevel="0" r="332">
      <c r="A332" s="39" t="n">
        <v>46055</v>
      </c>
      <c r="B332" s="16" t="s">
        <v>887</v>
      </c>
      <c r="C332" s="16" t="s">
        <v>213</v>
      </c>
      <c r="D332" s="16" t="s">
        <v>214</v>
      </c>
      <c r="E332" s="6" t="n">
        <v>400</v>
      </c>
      <c r="F332" s="7" t="n">
        <v>10</v>
      </c>
      <c r="G332" s="6" t="n">
        <v>5.26</v>
      </c>
      <c r="H332" s="6" t="n">
        <v>7</v>
      </c>
      <c r="I332" s="6" t="n">
        <v>52.6</v>
      </c>
      <c r="J332" s="6" t="n">
        <v>45.6</v>
      </c>
    </row>
    <row collapsed="false" customFormat="false" customHeight="false" hidden="false" ht="12.1" outlineLevel="0" r="333">
      <c r="A333" s="39" t="n">
        <v>46063</v>
      </c>
      <c r="B333" s="16" t="s">
        <v>887</v>
      </c>
      <c r="C333" s="16" t="s">
        <v>138</v>
      </c>
      <c r="D333" s="16" t="s">
        <v>139</v>
      </c>
      <c r="E333" s="6" t="n">
        <v>1000</v>
      </c>
      <c r="F333" s="7" t="n">
        <v>80</v>
      </c>
      <c r="G333" s="6" t="n">
        <v>34.9</v>
      </c>
      <c r="H333" s="6" t="n">
        <v>363</v>
      </c>
      <c r="I333" s="6" t="n">
        <v>2792</v>
      </c>
      <c r="J333" s="6" t="n">
        <v>2429</v>
      </c>
    </row>
    <row collapsed="false" customFormat="false" customHeight="false" hidden="false" ht="12.1" outlineLevel="0" r="334">
      <c r="A334" s="39" t="n">
        <v>46064</v>
      </c>
      <c r="B334" s="16" t="s">
        <v>887</v>
      </c>
      <c r="C334" s="16" t="s">
        <v>219</v>
      </c>
      <c r="D334" s="16" t="s">
        <v>220</v>
      </c>
      <c r="E334" s="6" t="n">
        <v>700</v>
      </c>
      <c r="F334" s="7" t="n">
        <v>5</v>
      </c>
      <c r="G334" s="6" t="n">
        <v>27.92</v>
      </c>
      <c r="H334" s="6" t="n">
        <v>18</v>
      </c>
      <c r="I334" s="6" t="n">
        <v>139.6</v>
      </c>
      <c r="J334" s="6" t="n">
        <v>121.6</v>
      </c>
    </row>
    <row collapsed="false" customFormat="false" customHeight="false" hidden="false" ht="12.1" outlineLevel="0" r="335">
      <c r="A335" s="39" t="n">
        <v>46065</v>
      </c>
      <c r="B335" s="16" t="s">
        <v>887</v>
      </c>
      <c r="C335" s="16" t="s">
        <v>222</v>
      </c>
      <c r="D335" s="16" t="s">
        <v>223</v>
      </c>
      <c r="E335" s="6" t="n">
        <v>1000</v>
      </c>
      <c r="F335" s="7" t="n">
        <v>2</v>
      </c>
      <c r="G335" s="6" t="n">
        <v>66.32</v>
      </c>
      <c r="H335" s="6" t="n">
        <v>17</v>
      </c>
      <c r="I335" s="6" t="n">
        <v>132.64</v>
      </c>
      <c r="J335" s="6" t="n">
        <v>115.64</v>
      </c>
    </row>
    <row collapsed="false" customFormat="false" customHeight="false" hidden="false" ht="12.1" outlineLevel="0" r="336">
      <c r="A336" s="39" t="n">
        <v>46069</v>
      </c>
      <c r="B336" s="16" t="s">
        <v>887</v>
      </c>
      <c r="C336" s="16" t="s">
        <v>147</v>
      </c>
      <c r="D336" s="16" t="s">
        <v>148</v>
      </c>
      <c r="E336" s="6" t="n">
        <v>1000</v>
      </c>
      <c r="F336" s="7" t="n">
        <v>41</v>
      </c>
      <c r="G336" s="6" t="n">
        <v>11.18</v>
      </c>
      <c r="H336" s="6" t="n">
        <v>60</v>
      </c>
      <c r="I336" s="6" t="n">
        <v>458.38</v>
      </c>
      <c r="J336" s="6" t="n">
        <v>398.38</v>
      </c>
    </row>
    <row collapsed="false" customFormat="false" customHeight="false" hidden="false" ht="12.1" outlineLevel="0" r="337">
      <c r="A337" s="39" t="n">
        <v>46070</v>
      </c>
      <c r="B337" s="16" t="s">
        <v>887</v>
      </c>
      <c r="C337" s="16" t="s">
        <v>162</v>
      </c>
      <c r="D337" s="16" t="s">
        <v>163</v>
      </c>
      <c r="E337" s="6" t="n">
        <v>1000</v>
      </c>
      <c r="F337" s="7" t="n">
        <v>19</v>
      </c>
      <c r="G337" s="6" t="n">
        <v>32.16</v>
      </c>
      <c r="H337" s="6" t="n">
        <v>79</v>
      </c>
      <c r="I337" s="6" t="n">
        <v>611.04</v>
      </c>
      <c r="J337" s="6" t="n">
        <v>532.04</v>
      </c>
    </row>
    <row collapsed="false" customFormat="false" customHeight="false" hidden="false" ht="12.1" outlineLevel="0" r="338">
      <c r="A338" s="39" t="n">
        <v>46070</v>
      </c>
      <c r="B338" s="16" t="s">
        <v>887</v>
      </c>
      <c r="C338" s="16" t="s">
        <v>192</v>
      </c>
      <c r="D338" s="16" t="s">
        <v>193</v>
      </c>
      <c r="E338" s="6" t="n">
        <v>1000</v>
      </c>
      <c r="F338" s="7" t="n">
        <v>5</v>
      </c>
      <c r="G338" s="6" t="n">
        <v>34.16</v>
      </c>
      <c r="H338" s="6" t="n">
        <v>22</v>
      </c>
      <c r="I338" s="6" t="n">
        <v>170.8</v>
      </c>
      <c r="J338" s="6" t="n">
        <v>148.8</v>
      </c>
    </row>
    <row collapsed="false" customFormat="false" customHeight="false" hidden="false" ht="12.1" outlineLevel="0" r="339">
      <c r="A339" s="39" t="n">
        <v>46074</v>
      </c>
      <c r="B339" s="16" t="s">
        <v>887</v>
      </c>
      <c r="C339" s="16" t="s">
        <v>189</v>
      </c>
      <c r="D339" s="16" t="s">
        <v>190</v>
      </c>
      <c r="E339" s="6" t="n">
        <v>1000</v>
      </c>
      <c r="F339" s="7" t="n">
        <v>5</v>
      </c>
      <c r="G339" s="6" t="n">
        <v>19.73</v>
      </c>
      <c r="H339" s="6" t="n">
        <v>13</v>
      </c>
      <c r="I339" s="6" t="n">
        <v>98.65</v>
      </c>
      <c r="J339" s="6" t="n">
        <v>85.65</v>
      </c>
    </row>
    <row collapsed="false" customFormat="false" customHeight="false" hidden="false" ht="12.1" outlineLevel="0" r="340">
      <c r="A340" s="39" t="n">
        <v>46075</v>
      </c>
      <c r="B340" s="16" t="s">
        <v>887</v>
      </c>
      <c r="C340" s="16" t="s">
        <v>198</v>
      </c>
      <c r="D340" s="16" t="s">
        <v>199</v>
      </c>
      <c r="E340" s="6" t="n">
        <v>1000</v>
      </c>
      <c r="F340" s="7" t="n">
        <v>5</v>
      </c>
      <c r="G340" s="6" t="n">
        <v>59.84</v>
      </c>
      <c r="H340" s="6" t="n">
        <v>39</v>
      </c>
      <c r="I340" s="6" t="n">
        <v>299.2</v>
      </c>
      <c r="J340" s="6" t="n">
        <v>260.2</v>
      </c>
    </row>
    <row collapsed="false" customFormat="false" customHeight="false" hidden="false" ht="12.1" outlineLevel="0" r="341">
      <c r="A341" s="39" t="n">
        <v>46076</v>
      </c>
      <c r="B341" s="16" t="s">
        <v>887</v>
      </c>
      <c r="C341" s="16" t="s">
        <v>177</v>
      </c>
      <c r="D341" s="16" t="s">
        <v>178</v>
      </c>
      <c r="E341" s="6" t="n">
        <v>1000</v>
      </c>
      <c r="F341" s="7" t="n">
        <v>17</v>
      </c>
      <c r="G341" s="6" t="n">
        <v>11.26</v>
      </c>
      <c r="H341" s="6" t="n">
        <v>25</v>
      </c>
      <c r="I341" s="6" t="n">
        <v>191.42</v>
      </c>
      <c r="J341" s="6" t="n">
        <v>166.42</v>
      </c>
    </row>
    <row collapsed="false" customFormat="false" customHeight="false" hidden="false" ht="12.1" outlineLevel="0" r="342">
      <c r="A342" s="39"/>
      <c r="B342" s="16"/>
      <c r="C342" s="16"/>
      <c r="D342" s="16"/>
      <c r="E342" s="6"/>
      <c r="F342" s="7"/>
      <c r="G342" s="6"/>
      <c r="H342" s="6"/>
      <c r="I342" s="6"/>
      <c r="J342" s="6"/>
    </row>
    <row collapsed="false" customFormat="false" customHeight="false" hidden="false" ht="12.1" outlineLevel="0" r="343">
      <c r="A343" s="39" t="n">
        <v>46079</v>
      </c>
      <c r="B343" s="16" t="s">
        <v>887</v>
      </c>
      <c r="C343" s="16" t="s">
        <v>216</v>
      </c>
      <c r="D343" s="16" t="s">
        <v>217</v>
      </c>
      <c r="E343" s="6" t="n">
        <v>1000</v>
      </c>
      <c r="F343" s="7" t="n">
        <v>3</v>
      </c>
      <c r="G343" s="6" t="n">
        <v>24.81</v>
      </c>
      <c r="H343" s="6" t="n">
        <v>10</v>
      </c>
      <c r="I343" s="6" t="n">
        <v>74.43</v>
      </c>
      <c r="J343" s="6" t="n">
        <v>64.43</v>
      </c>
    </row>
    <row collapsed="false" customFormat="false" customHeight="false" hidden="false" ht="12.1" outlineLevel="0" r="344">
      <c r="A344" s="39" t="n">
        <v>46081</v>
      </c>
      <c r="B344" s="16" t="s">
        <v>887</v>
      </c>
      <c r="C344" s="16" t="s">
        <v>228</v>
      </c>
      <c r="D344" s="16" t="s">
        <v>229</v>
      </c>
      <c r="E344" s="6" t="n">
        <v>211.35000000000002</v>
      </c>
      <c r="F344" s="7" t="n">
        <v>7</v>
      </c>
      <c r="G344" s="6" t="n">
        <v>1.3</v>
      </c>
      <c r="H344" s="6" t="n">
        <v>1</v>
      </c>
      <c r="I344" s="6" t="n">
        <v>9.1</v>
      </c>
      <c r="J344" s="6" t="n">
        <v>8.1</v>
      </c>
    </row>
    <row collapsed="false" customFormat="false" customHeight="false" hidden="false" ht="12.1" outlineLevel="0" r="345">
      <c r="A345" s="39" t="n">
        <v>46082</v>
      </c>
      <c r="B345" s="16" t="s">
        <v>887</v>
      </c>
      <c r="C345" s="16" t="s">
        <v>240</v>
      </c>
      <c r="D345" s="16" t="s">
        <v>241</v>
      </c>
      <c r="E345" s="6" t="n">
        <v>0</v>
      </c>
      <c r="F345" s="7" t="n">
        <v>-2</v>
      </c>
      <c r="G345" s="6" t="n">
        <v>8.22</v>
      </c>
      <c r="H345" s="6" t="n">
        <v>-2</v>
      </c>
      <c r="I345" s="6" t="n">
        <v>-16.44</v>
      </c>
      <c r="J345" s="6" t="n">
        <v>-14.44</v>
      </c>
    </row>
    <row collapsed="false" customFormat="false" customHeight="false" hidden="false" ht="12.1" outlineLevel="0" r="346">
      <c r="A346" s="39" t="n">
        <v>46082</v>
      </c>
      <c r="B346" s="16" t="s">
        <v>887</v>
      </c>
      <c r="C346" s="16" t="s">
        <v>237</v>
      </c>
      <c r="D346" s="16" t="s">
        <v>238</v>
      </c>
      <c r="E346" s="6" t="n">
        <v>54.489999999999995</v>
      </c>
      <c r="F346" s="7" t="n">
        <v>10</v>
      </c>
      <c r="G346" s="6" t="n">
        <v>0.46</v>
      </c>
      <c r="H346" s="6" t="n">
        <v>1</v>
      </c>
      <c r="I346" s="6" t="n">
        <v>4.6</v>
      </c>
      <c r="J346" s="6" t="n">
        <v>3.6</v>
      </c>
    </row>
    <row collapsed="false" customFormat="false" customHeight="false" hidden="false" ht="12.1" outlineLevel="0" r="347">
      <c r="A347" s="39" t="n">
        <v>46082</v>
      </c>
      <c r="B347" s="16" t="s">
        <v>887</v>
      </c>
      <c r="C347" s="16" t="s">
        <v>201</v>
      </c>
      <c r="D347" s="16" t="s">
        <v>202</v>
      </c>
      <c r="E347" s="6" t="n">
        <v>1000</v>
      </c>
      <c r="F347" s="7" t="n">
        <v>5</v>
      </c>
      <c r="G347" s="6" t="n">
        <v>17.47</v>
      </c>
      <c r="H347" s="6" t="n">
        <v>11</v>
      </c>
      <c r="I347" s="6" t="n">
        <v>87.35</v>
      </c>
      <c r="J347" s="6" t="n">
        <v>76.35</v>
      </c>
    </row>
    <row collapsed="false" customFormat="false" customHeight="false" hidden="false" ht="12.1" outlineLevel="0" r="348">
      <c r="A348" s="39" t="n">
        <v>46084</v>
      </c>
      <c r="B348" s="16" t="s">
        <v>887</v>
      </c>
      <c r="C348" s="16" t="s">
        <v>207</v>
      </c>
      <c r="D348" s="16" t="s">
        <v>208</v>
      </c>
      <c r="E348" s="6" t="n">
        <v>1000</v>
      </c>
      <c r="F348" s="7" t="n">
        <v>5</v>
      </c>
      <c r="G348" s="6" t="n">
        <v>46.12</v>
      </c>
      <c r="H348" s="6" t="n">
        <v>30</v>
      </c>
      <c r="I348" s="6" t="n">
        <v>230.6</v>
      </c>
      <c r="J348" s="6" t="n">
        <v>200.6</v>
      </c>
    </row>
    <row collapsed="false" customFormat="false" customHeight="false" hidden="false" ht="12.1" outlineLevel="0" r="349">
      <c r="A349" s="39" t="n">
        <v>46085</v>
      </c>
      <c r="B349" s="16" t="s">
        <v>887</v>
      </c>
      <c r="C349" s="16" t="s">
        <v>213</v>
      </c>
      <c r="D349" s="16" t="s">
        <v>214</v>
      </c>
      <c r="E349" s="6" t="n">
        <v>360</v>
      </c>
      <c r="F349" s="7" t="n">
        <v>10</v>
      </c>
      <c r="G349" s="6" t="n">
        <v>4.73</v>
      </c>
      <c r="H349" s="6" t="n">
        <v>6</v>
      </c>
      <c r="I349" s="6" t="n">
        <v>47.3</v>
      </c>
      <c r="J349" s="6" t="n">
        <v>41.3</v>
      </c>
    </row>
    <row collapsed="false" customFormat="false" customHeight="false" hidden="false" ht="12.1" outlineLevel="0" r="350">
      <c r="A350" s="39" t="n">
        <v>46091</v>
      </c>
      <c r="B350" s="16" t="s">
        <v>887</v>
      </c>
      <c r="C350" s="16" t="s">
        <v>234</v>
      </c>
      <c r="D350" s="16" t="s">
        <v>235</v>
      </c>
      <c r="E350" s="6" t="n">
        <v>552.59</v>
      </c>
      <c r="F350" s="7" t="n">
        <v>1</v>
      </c>
      <c r="G350" s="6" t="n">
        <v>24.8</v>
      </c>
      <c r="H350" s="6" t="n">
        <v>3</v>
      </c>
      <c r="I350" s="6" t="n">
        <v>24.8</v>
      </c>
      <c r="J350" s="6" t="n">
        <v>21.8</v>
      </c>
    </row>
    <row collapsed="false" customFormat="false" customHeight="false" hidden="false" ht="12.1" outlineLevel="0" r="351">
      <c r="A351" s="39" t="n">
        <v>46093</v>
      </c>
      <c r="B351" s="16" t="s">
        <v>887</v>
      </c>
      <c r="C351" s="16" t="s">
        <v>171</v>
      </c>
      <c r="D351" s="16" t="s">
        <v>172</v>
      </c>
      <c r="E351" s="6" t="n">
        <v>1000</v>
      </c>
      <c r="F351" s="7" t="n">
        <v>20</v>
      </c>
      <c r="G351" s="6" t="n">
        <v>17.83</v>
      </c>
      <c r="H351" s="6" t="n">
        <v>46</v>
      </c>
      <c r="I351" s="6" t="n">
        <v>356.6</v>
      </c>
      <c r="J351" s="6" t="n">
        <v>310.6</v>
      </c>
    </row>
    <row collapsed="false" customFormat="false" customHeight="false" hidden="false" ht="12.1" outlineLevel="0" r="352">
      <c r="A352" s="39" t="n">
        <v>46098</v>
      </c>
      <c r="B352" s="16" t="s">
        <v>887</v>
      </c>
      <c r="C352" s="16" t="s">
        <v>156</v>
      </c>
      <c r="D352" s="16" t="s">
        <v>157</v>
      </c>
      <c r="E352" s="6" t="n">
        <v>1000</v>
      </c>
      <c r="F352" s="7" t="n">
        <v>34</v>
      </c>
      <c r="G352" s="6" t="n">
        <v>33.41</v>
      </c>
      <c r="H352" s="6" t="n">
        <v>148</v>
      </c>
      <c r="I352" s="6" t="n">
        <v>1135.94</v>
      </c>
      <c r="J352" s="6" t="n">
        <v>987.94</v>
      </c>
    </row>
    <row collapsed="false" customFormat="false" customHeight="false" hidden="false" ht="12.1" outlineLevel="0" r="353">
      <c r="A353" s="39" t="n">
        <v>46098</v>
      </c>
      <c r="B353" s="16" t="s">
        <v>887</v>
      </c>
      <c r="C353" s="16" t="s">
        <v>174</v>
      </c>
      <c r="D353" s="16" t="s">
        <v>175</v>
      </c>
      <c r="E353" s="6" t="n">
        <v>1000</v>
      </c>
      <c r="F353" s="7" t="n">
        <v>15</v>
      </c>
      <c r="G353" s="6" t="n">
        <v>38.64</v>
      </c>
      <c r="H353" s="6" t="n">
        <v>75</v>
      </c>
      <c r="I353" s="6" t="n">
        <v>579.6</v>
      </c>
      <c r="J353" s="6" t="n">
        <v>504.6</v>
      </c>
    </row>
    <row collapsed="false" customFormat="false" customHeight="false" hidden="false" ht="12.1" outlineLevel="0" r="354">
      <c r="A354" s="39" t="n">
        <v>46099</v>
      </c>
      <c r="B354" s="16" t="s">
        <v>887</v>
      </c>
      <c r="C354" s="16" t="s">
        <v>147</v>
      </c>
      <c r="D354" s="16" t="s">
        <v>148</v>
      </c>
      <c r="E354" s="6" t="n">
        <v>1000</v>
      </c>
      <c r="F354" s="7" t="n">
        <v>41</v>
      </c>
      <c r="G354" s="6" t="n">
        <v>11.18</v>
      </c>
      <c r="H354" s="6" t="n">
        <v>60</v>
      </c>
      <c r="I354" s="6" t="n">
        <v>458.38</v>
      </c>
      <c r="J354" s="6" t="n">
        <v>398.38</v>
      </c>
    </row>
    <row collapsed="false" customFormat="false" customHeight="false" hidden="false" ht="12.1" outlineLevel="0" r="355">
      <c r="A355" s="39" t="n">
        <v>46104</v>
      </c>
      <c r="B355" s="16" t="s">
        <v>887</v>
      </c>
      <c r="C355" s="16" t="s">
        <v>189</v>
      </c>
      <c r="D355" s="16" t="s">
        <v>190</v>
      </c>
      <c r="E355" s="6" t="n">
        <v>1000</v>
      </c>
      <c r="F355" s="7" t="n">
        <v>5</v>
      </c>
      <c r="G355" s="6" t="n">
        <v>19.73</v>
      </c>
      <c r="H355" s="6" t="n">
        <v>13</v>
      </c>
      <c r="I355" s="6" t="n">
        <v>98.65</v>
      </c>
      <c r="J355" s="6" t="n">
        <v>85.65</v>
      </c>
    </row>
    <row collapsed="false" customFormat="false" customHeight="false" hidden="false" ht="12.1" outlineLevel="0" r="356">
      <c r="A356" s="39" t="n">
        <v>46105</v>
      </c>
      <c r="B356" s="16" t="s">
        <v>887</v>
      </c>
      <c r="C356" s="16" t="s">
        <v>144</v>
      </c>
      <c r="D356" s="16" t="s">
        <v>145</v>
      </c>
      <c r="E356" s="6" t="n">
        <v>1000</v>
      </c>
      <c r="F356" s="7" t="n">
        <v>40</v>
      </c>
      <c r="G356" s="6" t="n">
        <v>56.1</v>
      </c>
      <c r="H356" s="6" t="n">
        <v>292</v>
      </c>
      <c r="I356" s="6" t="n">
        <v>2244</v>
      </c>
      <c r="J356" s="6" t="n">
        <v>1952</v>
      </c>
    </row>
    <row collapsed="false" customFormat="false" customHeight="false" hidden="false" ht="12.1" outlineLevel="0" r="357">
      <c r="A357" s="39" t="n">
        <v>46105</v>
      </c>
      <c r="B357" s="16" t="s">
        <v>887</v>
      </c>
      <c r="C357" s="16" t="s">
        <v>153</v>
      </c>
      <c r="D357" s="16" t="s">
        <v>154</v>
      </c>
      <c r="E357" s="6" t="n">
        <v>1000</v>
      </c>
      <c r="F357" s="7" t="n">
        <v>34</v>
      </c>
      <c r="G357" s="6" t="n">
        <v>59.84</v>
      </c>
      <c r="H357" s="6" t="n">
        <v>264</v>
      </c>
      <c r="I357" s="6" t="n">
        <v>2034.56</v>
      </c>
      <c r="J357" s="6" t="n">
        <v>1770.56</v>
      </c>
    </row>
    <row collapsed="false" customFormat="false" customHeight="false" hidden="false" ht="12.1" outlineLevel="0" r="358">
      <c r="A358" s="39" t="n">
        <v>46106</v>
      </c>
      <c r="B358" s="16" t="s">
        <v>887</v>
      </c>
      <c r="C358" s="16" t="s">
        <v>177</v>
      </c>
      <c r="D358" s="16" t="s">
        <v>178</v>
      </c>
      <c r="E358" s="6" t="n">
        <v>1000</v>
      </c>
      <c r="F358" s="7" t="n">
        <v>17</v>
      </c>
      <c r="G358" s="6" t="n">
        <v>11.26</v>
      </c>
      <c r="H358" s="6" t="n">
        <v>25</v>
      </c>
      <c r="I358" s="6" t="n">
        <v>191.42</v>
      </c>
      <c r="J358" s="6" t="n">
        <v>166.42</v>
      </c>
    </row>
    <row collapsed="false" customFormat="false" customHeight="false" hidden="false" ht="12.1" outlineLevel="0" r="359">
      <c r="A359" s="39" t="n">
        <v>46112</v>
      </c>
      <c r="B359" s="16" t="s">
        <v>887</v>
      </c>
      <c r="C359" s="16" t="s">
        <v>228</v>
      </c>
      <c r="D359" s="16" t="s">
        <v>229</v>
      </c>
      <c r="E359" s="6" t="n">
        <v>211.35000000000002</v>
      </c>
      <c r="F359" s="7" t="n">
        <v>7</v>
      </c>
      <c r="G359" s="6" t="n">
        <v>1.27</v>
      </c>
      <c r="H359" s="6" t="n">
        <v>1</v>
      </c>
      <c r="I359" s="6" t="n">
        <v>8.89</v>
      </c>
      <c r="J359" s="6" t="n">
        <v>7.89</v>
      </c>
    </row>
    <row collapsed="false" customFormat="false" customHeight="false" hidden="false" ht="12.1" outlineLevel="0" r="360">
      <c r="A360" s="39" t="n">
        <v>46112</v>
      </c>
      <c r="B360" s="16" t="s">
        <v>887</v>
      </c>
      <c r="C360" s="16" t="s">
        <v>150</v>
      </c>
      <c r="D360" s="16" t="s">
        <v>151</v>
      </c>
      <c r="E360" s="6" t="n">
        <v>1000</v>
      </c>
      <c r="F360" s="7" t="n">
        <v>45</v>
      </c>
      <c r="G360" s="6" t="n">
        <v>38.39</v>
      </c>
      <c r="H360" s="6" t="n">
        <v>225</v>
      </c>
      <c r="I360" s="6" t="n">
        <v>1727.55</v>
      </c>
      <c r="J360" s="6" t="n">
        <v>1502.55</v>
      </c>
    </row>
    <row collapsed="false" customFormat="false" customHeight="false" hidden="false" ht="12.1" outlineLevel="0" r="361">
      <c r="A361" s="39" t="n">
        <v>46112</v>
      </c>
      <c r="B361" s="16" t="s">
        <v>887</v>
      </c>
      <c r="C361" s="16" t="s">
        <v>201</v>
      </c>
      <c r="D361" s="16" t="s">
        <v>202</v>
      </c>
      <c r="E361" s="6" t="n">
        <v>1000</v>
      </c>
      <c r="F361" s="7" t="n">
        <v>5</v>
      </c>
      <c r="G361" s="6" t="n">
        <v>17.47</v>
      </c>
      <c r="H361" s="6" t="n">
        <v>11</v>
      </c>
      <c r="I361" s="6" t="n">
        <v>87.35</v>
      </c>
      <c r="J361" s="6" t="n">
        <v>76.35</v>
      </c>
    </row>
    <row collapsed="false" customFormat="false" customHeight="false" hidden="false" ht="12.1" outlineLevel="0" r="362">
      <c r="A362" s="39" t="n">
        <v>46112</v>
      </c>
      <c r="B362" s="16" t="s">
        <v>887</v>
      </c>
      <c r="C362" s="16" t="s">
        <v>240</v>
      </c>
      <c r="D362" s="16" t="s">
        <v>241</v>
      </c>
      <c r="E362" s="6" t="n">
        <v>0</v>
      </c>
      <c r="F362" s="7" t="n">
        <v>-2</v>
      </c>
      <c r="G362" s="6" t="n">
        <v>8.22</v>
      </c>
      <c r="H362" s="6" t="n">
        <v>-2</v>
      </c>
      <c r="I362" s="6" t="n">
        <v>-16.44</v>
      </c>
      <c r="J362" s="6" t="n">
        <v>-14.44</v>
      </c>
    </row>
    <row collapsed="false" customFormat="false" customHeight="false" hidden="false" ht="12.1" outlineLevel="0" r="363">
      <c r="A363" s="39" t="n">
        <v>46113</v>
      </c>
      <c r="B363" s="16" t="s">
        <v>887</v>
      </c>
      <c r="C363" s="16" t="s">
        <v>210</v>
      </c>
      <c r="D363" s="16" t="s">
        <v>211</v>
      </c>
      <c r="E363" s="6" t="n">
        <v>1000</v>
      </c>
      <c r="F363" s="7" t="n">
        <v>4</v>
      </c>
      <c r="G363" s="6" t="n">
        <v>29.42</v>
      </c>
      <c r="H363" s="6" t="n">
        <v>15</v>
      </c>
      <c r="I363" s="6" t="n">
        <v>117.68</v>
      </c>
      <c r="J363" s="6" t="n">
        <v>102.68</v>
      </c>
    </row>
    <row collapsed="false" customFormat="false" customHeight="false" hidden="false" ht="12.1" outlineLevel="0" r="364">
      <c r="A364" s="39" t="n">
        <v>46113</v>
      </c>
      <c r="B364" s="16" t="s">
        <v>887</v>
      </c>
      <c r="C364" s="16" t="s">
        <v>237</v>
      </c>
      <c r="D364" s="16" t="s">
        <v>238</v>
      </c>
      <c r="E364" s="6" t="n">
        <v>54.489999999999995</v>
      </c>
      <c r="F364" s="7" t="n">
        <v>10</v>
      </c>
      <c r="G364" s="6" t="n">
        <v>0.32</v>
      </c>
      <c r="H364" s="6" t="n">
        <v>0</v>
      </c>
      <c r="I364" s="6" t="n">
        <v>3.2</v>
      </c>
      <c r="J364" s="6" t="n">
        <v>3.2</v>
      </c>
    </row>
    <row collapsed="false" customFormat="false" customHeight="false" hidden="false" ht="12.1" outlineLevel="0" r="365">
      <c r="A365" s="39" t="n">
        <v>46115</v>
      </c>
      <c r="B365" s="16" t="s">
        <v>887</v>
      </c>
      <c r="C365" s="16" t="s">
        <v>213</v>
      </c>
      <c r="D365" s="16" t="s">
        <v>214</v>
      </c>
      <c r="E365" s="6" t="n">
        <v>360</v>
      </c>
      <c r="F365" s="7" t="n">
        <v>10</v>
      </c>
      <c r="G365" s="6" t="n">
        <v>4.21</v>
      </c>
      <c r="H365" s="6" t="n">
        <v>5</v>
      </c>
      <c r="I365" s="6" t="n">
        <v>42.1</v>
      </c>
      <c r="J365" s="6" t="n">
        <v>37.1</v>
      </c>
    </row>
    <row collapsed="false" customFormat="false" customHeight="false" hidden="false" ht="12.1" outlineLevel="0" r="366">
      <c r="A366" s="39" t="n">
        <v>46129</v>
      </c>
      <c r="B366" s="16" t="s">
        <v>887</v>
      </c>
      <c r="C366" s="16" t="s">
        <v>147</v>
      </c>
      <c r="D366" s="16" t="s">
        <v>148</v>
      </c>
      <c r="E366" s="6" t="n">
        <v>1000</v>
      </c>
      <c r="F366" s="7" t="n">
        <v>41</v>
      </c>
      <c r="G366" s="6" t="n">
        <v>11.18</v>
      </c>
      <c r="H366" s="6" t="n">
        <v>60</v>
      </c>
      <c r="I366" s="6" t="n">
        <v>458.38</v>
      </c>
      <c r="J366" s="6" t="n">
        <v>398.38</v>
      </c>
    </row>
    <row collapsed="false" customFormat="false" customHeight="false" hidden="false" ht="12.1" outlineLevel="0" r="367">
      <c r="A367" s="39" t="n">
        <v>46133</v>
      </c>
      <c r="B367" s="16" t="s">
        <v>887</v>
      </c>
      <c r="C367" s="16" t="s">
        <v>183</v>
      </c>
      <c r="D367" s="16" t="s">
        <v>184</v>
      </c>
      <c r="E367" s="6" t="n">
        <v>1000</v>
      </c>
      <c r="F367" s="7" t="n">
        <v>9</v>
      </c>
      <c r="G367" s="6" t="n">
        <v>64.82</v>
      </c>
      <c r="H367" s="6" t="n">
        <v>76</v>
      </c>
      <c r="I367" s="6" t="n">
        <v>583.38</v>
      </c>
      <c r="J367" s="6" t="n">
        <v>507.38</v>
      </c>
    </row>
    <row collapsed="false" customFormat="false" customHeight="false" hidden="false" ht="12.1" outlineLevel="0" r="368">
      <c r="A368" s="39" t="n">
        <v>46134</v>
      </c>
      <c r="B368" s="16" t="s">
        <v>887</v>
      </c>
      <c r="C368" s="16" t="s">
        <v>189</v>
      </c>
      <c r="D368" s="16" t="s">
        <v>190</v>
      </c>
      <c r="E368" s="6" t="n">
        <v>1000</v>
      </c>
      <c r="F368" s="7" t="n">
        <v>5</v>
      </c>
      <c r="G368" s="6" t="n">
        <v>19.73</v>
      </c>
      <c r="H368" s="6" t="n">
        <v>13</v>
      </c>
      <c r="I368" s="6" t="n">
        <v>98.65</v>
      </c>
      <c r="J368" s="6" t="n">
        <v>85.65</v>
      </c>
    </row>
    <row collapsed="false" customFormat="false" customHeight="false" hidden="false" ht="12.1" outlineLevel="0" r="369">
      <c r="A369" s="39" t="n">
        <v>46134</v>
      </c>
      <c r="B369" s="16" t="s">
        <v>887</v>
      </c>
      <c r="C369" s="16" t="s">
        <v>180</v>
      </c>
      <c r="D369" s="16" t="s">
        <v>181</v>
      </c>
      <c r="E369" s="6" t="n">
        <v>1000</v>
      </c>
      <c r="F369" s="7" t="n">
        <v>12</v>
      </c>
      <c r="G369" s="6" t="n">
        <v>16.83</v>
      </c>
      <c r="H369" s="6" t="n">
        <v>26</v>
      </c>
      <c r="I369" s="6" t="n">
        <v>201.96</v>
      </c>
      <c r="J369" s="6" t="n">
        <v>175.96</v>
      </c>
    </row>
    <row collapsed="false" customFormat="false" customHeight="false" hidden="false" ht="12.1" outlineLevel="0" r="370">
      <c r="A370" s="39" t="n">
        <v>46136</v>
      </c>
      <c r="B370" s="16" t="s">
        <v>887</v>
      </c>
      <c r="C370" s="16" t="s">
        <v>177</v>
      </c>
      <c r="D370" s="16" t="s">
        <v>178</v>
      </c>
      <c r="E370" s="6" t="n">
        <v>1000</v>
      </c>
      <c r="F370" s="7" t="n">
        <v>17</v>
      </c>
      <c r="G370" s="6" t="n">
        <v>11.26</v>
      </c>
      <c r="H370" s="6" t="n">
        <v>25</v>
      </c>
      <c r="I370" s="6" t="n">
        <v>191.42</v>
      </c>
      <c r="J370" s="6" t="n">
        <v>166.42</v>
      </c>
    </row>
    <row collapsed="false" customFormat="false" customHeight="false" hidden="false" ht="12.1" outlineLevel="0" r="371">
      <c r="A371" s="39" t="n">
        <v>46142</v>
      </c>
      <c r="B371" s="16" t="s">
        <v>887</v>
      </c>
      <c r="C371" s="16" t="s">
        <v>201</v>
      </c>
      <c r="D371" s="16" t="s">
        <v>202</v>
      </c>
      <c r="E371" s="6" t="n">
        <v>1000</v>
      </c>
      <c r="F371" s="7" t="n">
        <v>5</v>
      </c>
      <c r="G371" s="6" t="n">
        <v>17.47</v>
      </c>
      <c r="H371" s="6" t="n">
        <v>11</v>
      </c>
      <c r="I371" s="6" t="n">
        <v>87.35</v>
      </c>
      <c r="J371" s="6" t="n">
        <v>76.35</v>
      </c>
    </row>
    <row collapsed="false" customFormat="false" customHeight="false" hidden="false" ht="12.1" outlineLevel="0" r="372">
      <c r="A372" s="39" t="n">
        <v>46142</v>
      </c>
      <c r="B372" s="16" t="s">
        <v>887</v>
      </c>
      <c r="C372" s="16" t="s">
        <v>240</v>
      </c>
      <c r="D372" s="16" t="s">
        <v>241</v>
      </c>
      <c r="E372" s="6" t="n">
        <v>0</v>
      </c>
      <c r="F372" s="7" t="n">
        <v>-2</v>
      </c>
      <c r="G372" s="6" t="n">
        <v>8.22</v>
      </c>
      <c r="H372" s="6" t="n">
        <v>-2</v>
      </c>
      <c r="I372" s="6" t="n">
        <v>-16.44</v>
      </c>
      <c r="J372" s="6" t="n">
        <v>-14.44</v>
      </c>
    </row>
    <row collapsed="false" customFormat="false" customHeight="false" hidden="false" ht="12.1" outlineLevel="0" r="373">
      <c r="A373" s="39" t="n">
        <v>46142</v>
      </c>
      <c r="B373" s="16" t="s">
        <v>887</v>
      </c>
      <c r="C373" s="16" t="s">
        <v>228</v>
      </c>
      <c r="D373" s="16" t="s">
        <v>229</v>
      </c>
      <c r="E373" s="6" t="n">
        <v>211.35000000000002</v>
      </c>
      <c r="F373" s="7" t="n">
        <v>7</v>
      </c>
      <c r="G373" s="6" t="n">
        <v>1.07</v>
      </c>
      <c r="H373" s="6" t="n">
        <v>1</v>
      </c>
      <c r="I373" s="6" t="n">
        <v>7.49</v>
      </c>
      <c r="J373" s="6" t="n">
        <v>6.49</v>
      </c>
    </row>
    <row collapsed="false" customFormat="false" customHeight="false" hidden="false" ht="12.1" outlineLevel="0" r="374">
      <c r="A374" s="39" t="n">
        <v>46142</v>
      </c>
      <c r="B374" s="16" t="s">
        <v>887</v>
      </c>
      <c r="C374" s="16" t="s">
        <v>195</v>
      </c>
      <c r="D374" s="16" t="s">
        <v>196</v>
      </c>
      <c r="E374" s="6" t="n">
        <v>1000</v>
      </c>
      <c r="F374" s="7" t="n">
        <v>5</v>
      </c>
      <c r="G374" s="6" t="n">
        <v>64.82</v>
      </c>
      <c r="H374" s="6" t="n">
        <v>42</v>
      </c>
      <c r="I374" s="6" t="n">
        <v>324.1</v>
      </c>
      <c r="J374" s="6" t="n">
        <v>282.1</v>
      </c>
    </row>
    <row collapsed="false" customFormat="false" customHeight="false" hidden="false" ht="12.1" outlineLevel="0" r="375">
      <c r="A375" s="39" t="n">
        <v>46143</v>
      </c>
      <c r="B375" s="16" t="s">
        <v>887</v>
      </c>
      <c r="C375" s="16" t="s">
        <v>237</v>
      </c>
      <c r="D375" s="16" t="s">
        <v>238</v>
      </c>
      <c r="E375" s="6" t="n">
        <v>54.489999999999995</v>
      </c>
      <c r="F375" s="7" t="n">
        <v>10</v>
      </c>
      <c r="G375" s="6" t="n">
        <v>0.13</v>
      </c>
      <c r="H375" s="6" t="n">
        <v>0</v>
      </c>
      <c r="I375" s="6" t="n">
        <v>1.3</v>
      </c>
      <c r="J375" s="6" t="n">
        <v>1.3</v>
      </c>
    </row>
    <row collapsed="false" customFormat="false" customHeight="false" hidden="false" ht="12.1" outlineLevel="0" r="376">
      <c r="A376" s="39" t="n">
        <v>46145</v>
      </c>
      <c r="B376" s="16" t="s">
        <v>887</v>
      </c>
      <c r="C376" s="16" t="s">
        <v>213</v>
      </c>
      <c r="D376" s="16" t="s">
        <v>214</v>
      </c>
      <c r="E376" s="6" t="n">
        <v>360</v>
      </c>
      <c r="F376" s="7" t="n">
        <v>10</v>
      </c>
      <c r="G376" s="6" t="n">
        <v>3.68</v>
      </c>
      <c r="H376" s="6" t="n">
        <v>5</v>
      </c>
      <c r="I376" s="6" t="n">
        <v>36.8</v>
      </c>
      <c r="J376" s="6" t="n">
        <v>31.8</v>
      </c>
    </row>
    <row collapsed="false" customFormat="false" customHeight="false" hidden="false" ht="12.1" outlineLevel="0" r="377">
      <c r="A377" s="39" t="n">
        <v>46155</v>
      </c>
      <c r="B377" s="16" t="s">
        <v>887</v>
      </c>
      <c r="C377" s="16" t="s">
        <v>219</v>
      </c>
      <c r="D377" s="16" t="s">
        <v>220</v>
      </c>
      <c r="E377" s="6" t="n">
        <v>600</v>
      </c>
      <c r="F377" s="7" t="n">
        <v>5</v>
      </c>
      <c r="G377" s="6" t="n">
        <v>23.93</v>
      </c>
      <c r="H377" s="6" t="n">
        <v>16</v>
      </c>
      <c r="I377" s="6" t="n">
        <v>119.65</v>
      </c>
      <c r="J377" s="6" t="n">
        <v>103.65</v>
      </c>
    </row>
    <row collapsed="false" customFormat="false" customHeight="false" hidden="false" ht="12.1" outlineLevel="0" r="378">
      <c r="A378" s="39" t="n">
        <v>46159</v>
      </c>
      <c r="B378" s="16" t="s">
        <v>887</v>
      </c>
      <c r="C378" s="16" t="s">
        <v>147</v>
      </c>
      <c r="D378" s="16" t="s">
        <v>148</v>
      </c>
      <c r="E378" s="6" t="n">
        <v>1000</v>
      </c>
      <c r="F378" s="7" t="n">
        <v>41</v>
      </c>
      <c r="G378" s="6" t="n">
        <v>11.18</v>
      </c>
      <c r="H378" s="6" t="n">
        <v>60</v>
      </c>
      <c r="I378" s="6" t="n">
        <v>458.38</v>
      </c>
      <c r="J378" s="6" t="n">
        <v>398.38</v>
      </c>
    </row>
    <row collapsed="false" customFormat="false" customHeight="false" hidden="false" ht="12.1" outlineLevel="0" r="379">
      <c r="A379" s="39" t="n">
        <v>46160</v>
      </c>
      <c r="B379" s="16" t="s">
        <v>887</v>
      </c>
      <c r="C379" s="16" t="s">
        <v>225</v>
      </c>
      <c r="D379" s="16" t="s">
        <v>226</v>
      </c>
      <c r="E379" s="6" t="n">
        <v>1000</v>
      </c>
      <c r="F379" s="7" t="n">
        <v>2</v>
      </c>
      <c r="G379" s="6" t="n">
        <v>76.94</v>
      </c>
      <c r="H379" s="6" t="n">
        <v>20</v>
      </c>
      <c r="I379" s="6" t="n">
        <v>153.88</v>
      </c>
      <c r="J379" s="6" t="n">
        <v>133.88</v>
      </c>
    </row>
    <row collapsed="false" customFormat="false" customHeight="false" hidden="false" ht="12.1" outlineLevel="0" r="380">
      <c r="A380" s="39" t="n">
        <v>46161</v>
      </c>
      <c r="B380" s="16" t="s">
        <v>887</v>
      </c>
      <c r="C380" s="16" t="s">
        <v>192</v>
      </c>
      <c r="D380" s="16" t="s">
        <v>193</v>
      </c>
      <c r="E380" s="6" t="n">
        <v>1000</v>
      </c>
      <c r="F380" s="7" t="n">
        <v>5</v>
      </c>
      <c r="G380" s="6" t="n">
        <v>52.36</v>
      </c>
      <c r="H380" s="6" t="n">
        <v>34</v>
      </c>
      <c r="I380" s="6" t="n">
        <v>261.8</v>
      </c>
      <c r="J380" s="6" t="n">
        <v>227.8</v>
      </c>
    </row>
    <row collapsed="false" customFormat="false" customHeight="false" hidden="false" ht="12.1" outlineLevel="0" r="381">
      <c r="A381" s="39" t="n">
        <v>46161</v>
      </c>
      <c r="B381" s="16" t="s">
        <v>887</v>
      </c>
      <c r="C381" s="16" t="s">
        <v>162</v>
      </c>
      <c r="D381" s="16" t="s">
        <v>163</v>
      </c>
      <c r="E381" s="6" t="n">
        <v>1000</v>
      </c>
      <c r="F381" s="7" t="n">
        <v>19</v>
      </c>
      <c r="G381" s="6" t="n">
        <v>32.16</v>
      </c>
      <c r="H381" s="6" t="n">
        <v>79</v>
      </c>
      <c r="I381" s="6" t="n">
        <v>611.04</v>
      </c>
      <c r="J381" s="6" t="n">
        <v>532.04</v>
      </c>
    </row>
    <row collapsed="false" customFormat="false" customHeight="false" hidden="false" ht="12.1" outlineLevel="0" r="382">
      <c r="A382" s="39" t="n">
        <v>46161</v>
      </c>
      <c r="B382" s="16" t="s">
        <v>887</v>
      </c>
      <c r="C382" s="16" t="s">
        <v>186</v>
      </c>
      <c r="D382" s="16" t="s">
        <v>187</v>
      </c>
      <c r="E382" s="6" t="n">
        <v>1000</v>
      </c>
      <c r="F382" s="7" t="n">
        <v>10</v>
      </c>
      <c r="G382" s="6" t="n">
        <v>28.42</v>
      </c>
      <c r="H382" s="6" t="n">
        <v>37</v>
      </c>
      <c r="I382" s="6" t="n">
        <v>284.2</v>
      </c>
      <c r="J382" s="6" t="n">
        <v>247.2</v>
      </c>
    </row>
    <row collapsed="false" customFormat="false" customHeight="false" hidden="false" ht="12.1" outlineLevel="0" r="383">
      <c r="A383" s="39" t="n">
        <v>46164</v>
      </c>
      <c r="B383" s="16" t="s">
        <v>887</v>
      </c>
      <c r="C383" s="16" t="s">
        <v>189</v>
      </c>
      <c r="D383" s="16" t="s">
        <v>190</v>
      </c>
      <c r="E383" s="6" t="n">
        <v>1000</v>
      </c>
      <c r="F383" s="7" t="n">
        <v>5</v>
      </c>
      <c r="G383" s="6" t="n">
        <v>19.73</v>
      </c>
      <c r="H383" s="6" t="n">
        <v>13</v>
      </c>
      <c r="I383" s="6" t="n">
        <v>98.65</v>
      </c>
      <c r="J383" s="6" t="n">
        <v>85.65</v>
      </c>
    </row>
    <row collapsed="false" customFormat="false" customHeight="false" hidden="false" ht="12.1" outlineLevel="0" r="384">
      <c r="A384" s="39" t="n">
        <v>46166</v>
      </c>
      <c r="B384" s="16" t="s">
        <v>887</v>
      </c>
      <c r="C384" s="16" t="s">
        <v>198</v>
      </c>
      <c r="D384" s="16" t="s">
        <v>199</v>
      </c>
      <c r="E384" s="6" t="n">
        <v>1000</v>
      </c>
      <c r="F384" s="7" t="n">
        <v>5</v>
      </c>
      <c r="G384" s="6" t="n">
        <v>59.84</v>
      </c>
      <c r="H384" s="6" t="n">
        <v>39</v>
      </c>
      <c r="I384" s="6" t="n">
        <v>299.2</v>
      </c>
      <c r="J384" s="6" t="n">
        <v>260.2</v>
      </c>
    </row>
    <row collapsed="false" customFormat="false" customHeight="false" hidden="false" ht="12.1" outlineLevel="0" r="385">
      <c r="A385" s="39" t="n">
        <v>46166</v>
      </c>
      <c r="B385" s="16" t="s">
        <v>887</v>
      </c>
      <c r="C385" s="16" t="s">
        <v>177</v>
      </c>
      <c r="D385" s="16" t="s">
        <v>178</v>
      </c>
      <c r="E385" s="6" t="n">
        <v>1000</v>
      </c>
      <c r="F385" s="7" t="n">
        <v>17</v>
      </c>
      <c r="G385" s="6" t="n">
        <v>11.26</v>
      </c>
      <c r="H385" s="6" t="n">
        <v>25</v>
      </c>
      <c r="I385" s="6" t="n">
        <v>191.42</v>
      </c>
      <c r="J385" s="6" t="n">
        <v>166.42</v>
      </c>
    </row>
    <row collapsed="false" customFormat="false" customHeight="false" hidden="false" ht="12.1" outlineLevel="0" r="386">
      <c r="A386" s="39" t="n">
        <v>46168</v>
      </c>
      <c r="B386" s="16" t="s">
        <v>887</v>
      </c>
      <c r="C386" s="16" t="s">
        <v>159</v>
      </c>
      <c r="D386" s="16" t="s">
        <v>160</v>
      </c>
      <c r="E386" s="6" t="n">
        <v>1000</v>
      </c>
      <c r="F386" s="7" t="n">
        <v>34</v>
      </c>
      <c r="G386" s="6" t="n">
        <v>47.37</v>
      </c>
      <c r="H386" s="6" t="n">
        <v>209</v>
      </c>
      <c r="I386" s="6" t="n">
        <v>1610.58</v>
      </c>
      <c r="J386" s="6" t="n">
        <v>1401.58</v>
      </c>
    </row>
    <row collapsed="false" customFormat="false" customHeight="false" hidden="false" ht="12.1" outlineLevel="0" r="387">
      <c r="A387" s="39" t="n">
        <v>46168</v>
      </c>
      <c r="B387" s="16" t="s">
        <v>887</v>
      </c>
      <c r="C387" s="16" t="s">
        <v>168</v>
      </c>
      <c r="D387" s="16" t="s">
        <v>169</v>
      </c>
      <c r="E387" s="6" t="n">
        <v>1000</v>
      </c>
      <c r="F387" s="7" t="n">
        <v>20</v>
      </c>
      <c r="G387" s="6" t="n">
        <v>61.08</v>
      </c>
      <c r="H387" s="6" t="n">
        <v>159</v>
      </c>
      <c r="I387" s="6" t="n">
        <v>1221.6</v>
      </c>
      <c r="J387" s="6" t="n">
        <v>1062.6</v>
      </c>
    </row>
    <row collapsed="false" customFormat="false" customHeight="false" hidden="false" ht="12.1" outlineLevel="0" r="388">
      <c r="A388" s="39" t="n">
        <v>46172</v>
      </c>
      <c r="B388" s="16" t="s">
        <v>887</v>
      </c>
      <c r="C388" s="16" t="s">
        <v>201</v>
      </c>
      <c r="D388" s="16" t="s">
        <v>202</v>
      </c>
      <c r="E388" s="6" t="n">
        <v>1000</v>
      </c>
      <c r="F388" s="7" t="n">
        <v>5</v>
      </c>
      <c r="G388" s="6" t="n">
        <v>17.47</v>
      </c>
      <c r="H388" s="6" t="n">
        <v>11</v>
      </c>
      <c r="I388" s="6" t="n">
        <v>87.35</v>
      </c>
      <c r="J388" s="6" t="n">
        <v>76.35</v>
      </c>
    </row>
    <row collapsed="false" customFormat="false" customHeight="false" hidden="false" ht="12.1" outlineLevel="0" r="389">
      <c r="A389" s="39" t="n">
        <v>46172</v>
      </c>
      <c r="B389" s="16" t="s">
        <v>887</v>
      </c>
      <c r="C389" s="16" t="s">
        <v>240</v>
      </c>
      <c r="D389" s="16" t="s">
        <v>241</v>
      </c>
      <c r="E389" s="6" t="n">
        <v>0</v>
      </c>
      <c r="F389" s="7" t="n">
        <v>-2</v>
      </c>
      <c r="G389" s="6" t="n">
        <v>8.22</v>
      </c>
      <c r="H389" s="6" t="n">
        <v>-2</v>
      </c>
      <c r="I389" s="6" t="n">
        <v>-16.44</v>
      </c>
      <c r="J389" s="6" t="n">
        <v>-14.44</v>
      </c>
    </row>
    <row collapsed="false" customFormat="false" customHeight="false" hidden="false" ht="12.1" outlineLevel="0" r="390">
      <c r="A390" s="39" t="n">
        <v>46173</v>
      </c>
      <c r="B390" s="16" t="s">
        <v>887</v>
      </c>
      <c r="C390" s="16" t="s">
        <v>228</v>
      </c>
      <c r="D390" s="16" t="s">
        <v>229</v>
      </c>
      <c r="E390" s="6" t="n">
        <v>211.35000000000002</v>
      </c>
      <c r="F390" s="7" t="n">
        <v>7</v>
      </c>
      <c r="G390" s="6" t="n">
        <v>0.95</v>
      </c>
      <c r="H390" s="6" t="n">
        <v>1</v>
      </c>
      <c r="I390" s="6" t="n">
        <v>6.65</v>
      </c>
      <c r="J390" s="6" t="n">
        <v>5.65</v>
      </c>
    </row>
    <row collapsed="false" customFormat="false" customHeight="false" hidden="false" ht="12.1" outlineLevel="0" r="391">
      <c r="A391" s="39" t="n">
        <v>46174</v>
      </c>
      <c r="B391" s="16" t="s">
        <v>887</v>
      </c>
      <c r="C391" s="16" t="s">
        <v>237</v>
      </c>
      <c r="D391" s="16" t="s">
        <v>238</v>
      </c>
      <c r="E391" s="6" t="n">
        <v>54.489999999999995</v>
      </c>
      <c r="F391" s="7" t="n">
        <v>10</v>
      </c>
      <c r="G391" s="6" t="n">
        <v>0.13</v>
      </c>
      <c r="H391" s="6" t="n">
        <v>0</v>
      </c>
      <c r="I391" s="6" t="n">
        <v>1.3</v>
      </c>
      <c r="J391" s="6" t="n">
        <v>1.3</v>
      </c>
    </row>
    <row collapsed="false" customFormat="false" customHeight="false" hidden="false" ht="12.1" outlineLevel="0" r="392">
      <c r="A392" s="39" t="n">
        <v>46174</v>
      </c>
      <c r="B392" s="16" t="s">
        <v>887</v>
      </c>
      <c r="C392" s="16" t="s">
        <v>204</v>
      </c>
      <c r="D392" s="16" t="s">
        <v>205</v>
      </c>
      <c r="E392" s="6" t="n">
        <v>1000</v>
      </c>
      <c r="F392" s="7" t="n">
        <v>5</v>
      </c>
      <c r="G392" s="6" t="n">
        <v>56.1</v>
      </c>
      <c r="H392" s="6" t="n">
        <v>36</v>
      </c>
      <c r="I392" s="6" t="n">
        <v>280.5</v>
      </c>
      <c r="J392" s="6" t="n">
        <v>244.5</v>
      </c>
    </row>
    <row collapsed="false" customFormat="false" customHeight="false" hidden="false" ht="12.1" outlineLevel="0" r="393">
      <c r="A393" s="39" t="n">
        <v>46175</v>
      </c>
      <c r="B393" s="16" t="s">
        <v>887</v>
      </c>
      <c r="C393" s="16" t="s">
        <v>213</v>
      </c>
      <c r="D393" s="16" t="s">
        <v>214</v>
      </c>
      <c r="E393" s="6" t="n">
        <v>360</v>
      </c>
      <c r="F393" s="7" t="n">
        <v>10</v>
      </c>
      <c r="G393" s="6" t="n">
        <v>3.16</v>
      </c>
      <c r="H393" s="6" t="n">
        <v>4</v>
      </c>
      <c r="I393" s="6" t="n">
        <v>31.6</v>
      </c>
      <c r="J393" s="6" t="n">
        <v>27.6</v>
      </c>
    </row>
    <row collapsed="false" customFormat="false" customHeight="false" hidden="false" ht="12.1" outlineLevel="0" r="394">
      <c r="A394" s="39" t="n">
        <v>46175</v>
      </c>
      <c r="B394" s="16" t="s">
        <v>887</v>
      </c>
      <c r="C394" s="16" t="s">
        <v>141</v>
      </c>
      <c r="D394" s="16" t="s">
        <v>142</v>
      </c>
      <c r="E394" s="6" t="n">
        <v>1000</v>
      </c>
      <c r="F394" s="7" t="n">
        <v>53</v>
      </c>
      <c r="G394" s="6" t="n">
        <v>48.87</v>
      </c>
      <c r="H394" s="6" t="n">
        <v>337</v>
      </c>
      <c r="I394" s="6" t="n">
        <v>2590.11</v>
      </c>
      <c r="J394" s="6" t="n">
        <v>2253.11</v>
      </c>
    </row>
    <row collapsed="false" customFormat="false" customHeight="false" hidden="false" ht="12.1" outlineLevel="0" r="395">
      <c r="A395" s="39" t="n">
        <v>46175</v>
      </c>
      <c r="B395" s="16" t="s">
        <v>887</v>
      </c>
      <c r="C395" s="16" t="s">
        <v>165</v>
      </c>
      <c r="D395" s="16" t="s">
        <v>166</v>
      </c>
      <c r="E395" s="6" t="n">
        <v>1000</v>
      </c>
      <c r="F395" s="7" t="n">
        <v>20</v>
      </c>
      <c r="G395" s="6" t="n">
        <v>61.08</v>
      </c>
      <c r="H395" s="6" t="n">
        <v>159</v>
      </c>
      <c r="I395" s="6" t="n">
        <v>1221.6</v>
      </c>
      <c r="J395" s="6" t="n">
        <v>1062.6</v>
      </c>
    </row>
    <row collapsed="false" customFormat="false" customHeight="false" hidden="false" ht="12.1" outlineLevel="0" r="396">
      <c r="A396" s="39" t="n">
        <v>46175</v>
      </c>
      <c r="B396" s="16" t="s">
        <v>887</v>
      </c>
      <c r="C396" s="16" t="s">
        <v>134</v>
      </c>
      <c r="D396" s="16" t="s">
        <v>136</v>
      </c>
      <c r="E396" s="6" t="n">
        <v>1000</v>
      </c>
      <c r="F396" s="7" t="n">
        <v>88</v>
      </c>
      <c r="G396" s="6" t="n">
        <v>35.4</v>
      </c>
      <c r="H396" s="6" t="n">
        <v>405</v>
      </c>
      <c r="I396" s="6" t="n">
        <v>3115.2</v>
      </c>
      <c r="J396" s="6" t="n">
        <v>2710.2</v>
      </c>
    </row>
    <row collapsed="false" customFormat="false" customHeight="false" hidden="false" ht="12.1" outlineLevel="0" r="397">
      <c r="A397" s="39" t="n">
        <v>46180</v>
      </c>
      <c r="B397" s="16" t="s">
        <v>887</v>
      </c>
      <c r="C397" s="16" t="s">
        <v>231</v>
      </c>
      <c r="D397" s="16" t="s">
        <v>232</v>
      </c>
      <c r="E397" s="6" t="n">
        <v>1000</v>
      </c>
      <c r="F397" s="7" t="n">
        <v>1</v>
      </c>
      <c r="G397" s="6" t="n">
        <v>81.78</v>
      </c>
      <c r="H397" s="6" t="n">
        <v>11</v>
      </c>
      <c r="I397" s="6" t="n">
        <v>81.78</v>
      </c>
      <c r="J397" s="6" t="n">
        <v>70.78</v>
      </c>
    </row>
    <row collapsed="false" customFormat="false" customHeight="false" hidden="false" ht="12.1" outlineLevel="0" r="398">
      <c r="A398" s="39" t="n">
        <v>46182</v>
      </c>
      <c r="B398" s="16" t="s">
        <v>887</v>
      </c>
      <c r="C398" s="16" t="s">
        <v>234</v>
      </c>
      <c r="D398" s="16" t="s">
        <v>235</v>
      </c>
      <c r="E398" s="6" t="n">
        <v>552.59</v>
      </c>
      <c r="F398" s="7" t="n">
        <v>1</v>
      </c>
      <c r="G398" s="6" t="n">
        <v>22.6</v>
      </c>
      <c r="H398" s="6" t="n">
        <v>3</v>
      </c>
      <c r="I398" s="6" t="n">
        <v>22.6</v>
      </c>
      <c r="J398" s="6" t="n">
        <v>19.6</v>
      </c>
    </row>
    <row collapsed="false" customFormat="false" customHeight="false" hidden="false" ht="12.1" outlineLevel="0" r="399">
      <c r="A399" s="39" t="n">
        <v>46184</v>
      </c>
      <c r="B399" s="16" t="s">
        <v>887</v>
      </c>
      <c r="C399" s="16" t="s">
        <v>171</v>
      </c>
      <c r="D399" s="16" t="s">
        <v>172</v>
      </c>
      <c r="E399" s="6" t="n">
        <v>1000</v>
      </c>
      <c r="F399" s="7" t="n">
        <v>20</v>
      </c>
      <c r="G399" s="6" t="n">
        <v>17.83</v>
      </c>
      <c r="H399" s="6" t="n">
        <v>46</v>
      </c>
      <c r="I399" s="6" t="n">
        <v>356.6</v>
      </c>
      <c r="J399" s="6" t="n">
        <v>310.6</v>
      </c>
    </row>
    <row collapsed="false" customFormat="false" customHeight="false" hidden="false" ht="12.1" outlineLevel="0" r="400">
      <c r="A400" s="39" t="n">
        <v>46189</v>
      </c>
      <c r="B400" s="16" t="s">
        <v>887</v>
      </c>
      <c r="C400" s="16" t="s">
        <v>147</v>
      </c>
      <c r="D400" s="16" t="s">
        <v>148</v>
      </c>
      <c r="E400" s="6" t="n">
        <v>1000</v>
      </c>
      <c r="F400" s="7" t="n">
        <v>41</v>
      </c>
      <c r="G400" s="6" t="n">
        <v>11.18</v>
      </c>
      <c r="H400" s="6" t="n">
        <v>60</v>
      </c>
      <c r="I400" s="6" t="n">
        <v>458.38</v>
      </c>
      <c r="J400" s="6" t="n">
        <v>398.38</v>
      </c>
    </row>
    <row collapsed="false" customFormat="false" customHeight="false" hidden="false" ht="12.1" outlineLevel="0" r="401">
      <c r="A401" s="39" t="n">
        <v>46194</v>
      </c>
      <c r="B401" s="16" t="s">
        <v>887</v>
      </c>
      <c r="C401" s="16" t="s">
        <v>189</v>
      </c>
      <c r="D401" s="16" t="s">
        <v>190</v>
      </c>
      <c r="E401" s="6" t="n">
        <v>1000</v>
      </c>
      <c r="F401" s="7" t="n">
        <v>5</v>
      </c>
      <c r="G401" s="6" t="n">
        <v>19.73</v>
      </c>
      <c r="H401" s="6" t="n">
        <v>13</v>
      </c>
      <c r="I401" s="6" t="n">
        <v>98.65</v>
      </c>
      <c r="J401" s="6" t="n">
        <v>85.65</v>
      </c>
    </row>
    <row collapsed="false" customFormat="false" customHeight="false" hidden="false" ht="12.1" outlineLevel="0" r="402">
      <c r="A402" s="39" t="n">
        <v>46196</v>
      </c>
      <c r="B402" s="16" t="s">
        <v>887</v>
      </c>
      <c r="C402" s="16" t="s">
        <v>177</v>
      </c>
      <c r="D402" s="16" t="s">
        <v>178</v>
      </c>
      <c r="E402" s="6" t="n">
        <v>1000</v>
      </c>
      <c r="F402" s="7" t="n">
        <v>17</v>
      </c>
      <c r="G402" s="6" t="n">
        <v>11.26</v>
      </c>
      <c r="H402" s="6" t="n">
        <v>25</v>
      </c>
      <c r="I402" s="6" t="n">
        <v>191.42</v>
      </c>
      <c r="J402" s="6" t="n">
        <v>166.42</v>
      </c>
    </row>
    <row collapsed="false" customFormat="false" customHeight="false" hidden="false" ht="12.1" outlineLevel="0" r="403">
      <c r="A403" s="39" t="n">
        <v>46202</v>
      </c>
      <c r="B403" s="16" t="s">
        <v>887</v>
      </c>
      <c r="C403" s="16" t="s">
        <v>240</v>
      </c>
      <c r="D403" s="16" t="s">
        <v>241</v>
      </c>
      <c r="E403" s="6" t="n">
        <v>0</v>
      </c>
      <c r="F403" s="7" t="n">
        <v>-2</v>
      </c>
      <c r="G403" s="6" t="n">
        <v>8.22</v>
      </c>
      <c r="H403" s="6" t="n">
        <v>-2</v>
      </c>
      <c r="I403" s="6" t="n">
        <v>-16.44</v>
      </c>
      <c r="J403" s="6" t="n">
        <v>-14.44</v>
      </c>
    </row>
    <row collapsed="false" customFormat="false" customHeight="false" hidden="false" ht="12.1" outlineLevel="0" r="404">
      <c r="A404" s="39" t="n">
        <v>46202</v>
      </c>
      <c r="B404" s="16" t="s">
        <v>887</v>
      </c>
      <c r="C404" s="16" t="s">
        <v>201</v>
      </c>
      <c r="D404" s="16" t="s">
        <v>202</v>
      </c>
      <c r="E404" s="6" t="n">
        <v>1000</v>
      </c>
      <c r="F404" s="7" t="n">
        <v>5</v>
      </c>
      <c r="G404" s="6" t="n">
        <v>17.47</v>
      </c>
      <c r="H404" s="6" t="n">
        <v>11</v>
      </c>
      <c r="I404" s="6" t="n">
        <v>87.35</v>
      </c>
      <c r="J404" s="6" t="n">
        <v>76.35</v>
      </c>
    </row>
    <row collapsed="false" customFormat="false" customHeight="false" hidden="false" ht="12.1" outlineLevel="0" r="405">
      <c r="A405" s="39" t="n">
        <v>46203</v>
      </c>
      <c r="B405" s="16" t="s">
        <v>887</v>
      </c>
      <c r="C405" s="16" t="s">
        <v>228</v>
      </c>
      <c r="D405" s="16" t="s">
        <v>229</v>
      </c>
      <c r="E405" s="6" t="n">
        <v>211.35000000000002</v>
      </c>
      <c r="F405" s="7" t="n">
        <v>7</v>
      </c>
      <c r="G405" s="6" t="n">
        <v>0.77</v>
      </c>
      <c r="H405" s="6" t="n">
        <v>1</v>
      </c>
      <c r="I405" s="6" t="n">
        <v>5.39</v>
      </c>
      <c r="J405" s="6" t="n">
        <v>4.39</v>
      </c>
    </row>
    <row collapsed="false" customFormat="false" customHeight="false" hidden="false" ht="12.1" outlineLevel="0" r="406">
      <c r="A406" s="39" t="n">
        <v>46204</v>
      </c>
      <c r="B406" s="16" t="s">
        <v>887</v>
      </c>
      <c r="C406" s="16" t="s">
        <v>237</v>
      </c>
      <c r="D406" s="16" t="s">
        <v>238</v>
      </c>
      <c r="E406" s="6" t="n">
        <v>54.489999999999995</v>
      </c>
      <c r="F406" s="7" t="n">
        <v>10</v>
      </c>
      <c r="G406" s="6" t="n">
        <v>0.13</v>
      </c>
      <c r="H406" s="6" t="n">
        <v>0</v>
      </c>
      <c r="I406" s="6" t="n">
        <v>1.3</v>
      </c>
      <c r="J406" s="6" t="n">
        <v>1.3</v>
      </c>
    </row>
    <row collapsed="false" customFormat="false" customHeight="false" hidden="false" ht="12.1" outlineLevel="0" r="407">
      <c r="A407" s="39" t="n">
        <v>46204</v>
      </c>
      <c r="B407" s="16" t="s">
        <v>887</v>
      </c>
      <c r="C407" s="16" t="s">
        <v>210</v>
      </c>
      <c r="D407" s="16" t="s">
        <v>211</v>
      </c>
      <c r="E407" s="6" t="n">
        <v>1000</v>
      </c>
      <c r="F407" s="7" t="n">
        <v>4</v>
      </c>
      <c r="G407" s="6" t="n">
        <v>29.42</v>
      </c>
      <c r="H407" s="6" t="n">
        <v>15</v>
      </c>
      <c r="I407" s="6" t="n">
        <v>117.68</v>
      </c>
      <c r="J407" s="6" t="n">
        <v>102.68</v>
      </c>
    </row>
    <row collapsed="false" customFormat="false" customHeight="false" hidden="false" ht="12.1" outlineLevel="0" r="408">
      <c r="A408" s="39" t="n">
        <v>46205</v>
      </c>
      <c r="B408" s="16" t="s">
        <v>887</v>
      </c>
      <c r="C408" s="16" t="s">
        <v>213</v>
      </c>
      <c r="D408" s="16" t="s">
        <v>214</v>
      </c>
      <c r="E408" s="6" t="n">
        <v>360</v>
      </c>
      <c r="F408" s="7" t="n">
        <v>10</v>
      </c>
      <c r="G408" s="6" t="n">
        <v>2.63</v>
      </c>
      <c r="H408" s="6" t="n">
        <v>3</v>
      </c>
      <c r="I408" s="6" t="n">
        <v>26.3</v>
      </c>
      <c r="J408" s="6" t="n">
        <v>23.3</v>
      </c>
    </row>
    <row collapsed="false" customFormat="false" customHeight="false" hidden="false" ht="12.1" outlineLevel="0" r="409">
      <c r="A409" s="39" t="n">
        <v>46219</v>
      </c>
      <c r="B409" s="16" t="s">
        <v>887</v>
      </c>
      <c r="C409" s="16" t="s">
        <v>147</v>
      </c>
      <c r="D409" s="16" t="s">
        <v>148</v>
      </c>
      <c r="E409" s="6" t="n">
        <v>1000</v>
      </c>
      <c r="F409" s="7" t="n">
        <v>41</v>
      </c>
      <c r="G409" s="6" t="n">
        <v>8.38</v>
      </c>
      <c r="H409" s="6" t="n">
        <v>45</v>
      </c>
      <c r="I409" s="6" t="n">
        <v>343.58</v>
      </c>
      <c r="J409" s="6" t="n">
        <v>298.58</v>
      </c>
    </row>
    <row collapsed="false" customFormat="false" customHeight="false" hidden="false" ht="12.1" outlineLevel="0" r="410">
      <c r="A410" s="39" t="n">
        <v>46224</v>
      </c>
      <c r="B410" s="16" t="s">
        <v>887</v>
      </c>
      <c r="C410" s="16" t="s">
        <v>189</v>
      </c>
      <c r="D410" s="16" t="s">
        <v>190</v>
      </c>
      <c r="E410" s="6" t="n">
        <v>1000</v>
      </c>
      <c r="F410" s="7" t="n">
        <v>5</v>
      </c>
      <c r="G410" s="6" t="n">
        <v>19.73</v>
      </c>
      <c r="H410" s="6" t="n">
        <v>13</v>
      </c>
      <c r="I410" s="6" t="n">
        <v>98.65</v>
      </c>
      <c r="J410" s="6" t="n">
        <v>85.65</v>
      </c>
    </row>
    <row collapsed="false" customFormat="false" customHeight="false" hidden="false" ht="12.1" outlineLevel="0" r="411">
      <c r="A411" s="39" t="n">
        <v>46225</v>
      </c>
      <c r="B411" s="16" t="s">
        <v>887</v>
      </c>
      <c r="C411" s="16" t="s">
        <v>180</v>
      </c>
      <c r="D411" s="16" t="s">
        <v>181</v>
      </c>
      <c r="E411" s="6" t="n">
        <v>1000</v>
      </c>
      <c r="F411" s="7" t="n">
        <v>12</v>
      </c>
      <c r="G411" s="6" t="n">
        <v>16.83</v>
      </c>
      <c r="H411" s="6" t="n">
        <v>26</v>
      </c>
      <c r="I411" s="6" t="n">
        <v>201.96</v>
      </c>
      <c r="J411" s="6" t="n">
        <v>175.96</v>
      </c>
    </row>
    <row collapsed="false" customFormat="false" customHeight="false" hidden="false" ht="12.1" outlineLevel="0" r="412">
      <c r="A412" s="39" t="n">
        <v>46226</v>
      </c>
      <c r="B412" s="16" t="s">
        <v>887</v>
      </c>
      <c r="C412" s="16" t="s">
        <v>177</v>
      </c>
      <c r="D412" s="16" t="s">
        <v>178</v>
      </c>
      <c r="E412" s="6" t="n">
        <v>1000</v>
      </c>
      <c r="F412" s="7" t="n">
        <v>17</v>
      </c>
      <c r="G412" s="6" t="n">
        <v>11.26</v>
      </c>
      <c r="H412" s="6" t="n">
        <v>25</v>
      </c>
      <c r="I412" s="6" t="n">
        <v>191.42</v>
      </c>
      <c r="J412" s="6" t="n">
        <v>166.42</v>
      </c>
    </row>
    <row collapsed="false" customFormat="false" customHeight="false" hidden="false" ht="12.1" outlineLevel="0" r="413">
      <c r="A413" s="39" t="n">
        <v>46232</v>
      </c>
      <c r="B413" s="16" t="s">
        <v>887</v>
      </c>
      <c r="C413" s="16" t="s">
        <v>240</v>
      </c>
      <c r="D413" s="16" t="s">
        <v>241</v>
      </c>
      <c r="E413" s="6" t="n">
        <v>0</v>
      </c>
      <c r="F413" s="7" t="n">
        <v>-2</v>
      </c>
      <c r="G413" s="6" t="n">
        <v>8.22</v>
      </c>
      <c r="H413" s="6" t="n">
        <v>-2</v>
      </c>
      <c r="I413" s="6" t="n">
        <v>-16.44</v>
      </c>
      <c r="J413" s="6" t="n">
        <v>-14.44</v>
      </c>
    </row>
    <row collapsed="false" customFormat="false" customHeight="false" hidden="false" ht="12.1" outlineLevel="0" r="414">
      <c r="A414" s="39" t="n">
        <v>46232</v>
      </c>
      <c r="B414" s="16" t="s">
        <v>887</v>
      </c>
      <c r="C414" s="16" t="s">
        <v>201</v>
      </c>
      <c r="D414" s="16" t="s">
        <v>202</v>
      </c>
      <c r="E414" s="6" t="n">
        <v>1000</v>
      </c>
      <c r="F414" s="7" t="n">
        <v>5</v>
      </c>
      <c r="G414" s="6" t="n">
        <v>17.47</v>
      </c>
      <c r="H414" s="6" t="n">
        <v>11</v>
      </c>
      <c r="I414" s="6" t="n">
        <v>87.35</v>
      </c>
      <c r="J414" s="6" t="n">
        <v>76.35</v>
      </c>
    </row>
    <row collapsed="false" customFormat="false" customHeight="false" hidden="false" ht="12.1" outlineLevel="0" r="415">
      <c r="A415" s="39" t="n">
        <v>46233</v>
      </c>
      <c r="B415" s="16" t="s">
        <v>887</v>
      </c>
      <c r="C415" s="16" t="s">
        <v>195</v>
      </c>
      <c r="D415" s="16" t="s">
        <v>196</v>
      </c>
      <c r="E415" s="6" t="n">
        <v>1000</v>
      </c>
      <c r="F415" s="7" t="n">
        <v>5</v>
      </c>
      <c r="G415" s="6" t="n">
        <v>64.82</v>
      </c>
      <c r="H415" s="6" t="n">
        <v>42</v>
      </c>
      <c r="I415" s="6" t="n">
        <v>324.1</v>
      </c>
      <c r="J415" s="6" t="n">
        <v>282.1</v>
      </c>
    </row>
    <row collapsed="false" customFormat="false" customHeight="false" hidden="false" ht="12.1" outlineLevel="0" r="416">
      <c r="A416" s="39" t="n">
        <v>46234</v>
      </c>
      <c r="B416" s="16" t="s">
        <v>887</v>
      </c>
      <c r="C416" s="16" t="s">
        <v>228</v>
      </c>
      <c r="D416" s="16" t="s">
        <v>229</v>
      </c>
      <c r="E416" s="6" t="n">
        <v>211.35000000000002</v>
      </c>
      <c r="F416" s="7" t="n">
        <v>7</v>
      </c>
      <c r="G416" s="6" t="n">
        <v>0.65</v>
      </c>
      <c r="H416" s="6" t="n">
        <v>1</v>
      </c>
      <c r="I416" s="6" t="n">
        <v>4.55</v>
      </c>
      <c r="J416" s="6" t="n">
        <v>3.55</v>
      </c>
    </row>
    <row collapsed="false" customFormat="false" customHeight="false" hidden="false" ht="12.1" outlineLevel="0" r="417">
      <c r="A417" s="39" t="n">
        <v>46235</v>
      </c>
      <c r="B417" s="16" t="s">
        <v>887</v>
      </c>
      <c r="C417" s="16" t="s">
        <v>213</v>
      </c>
      <c r="D417" s="16" t="s">
        <v>214</v>
      </c>
      <c r="E417" s="6" t="n">
        <v>360</v>
      </c>
      <c r="F417" s="7" t="n">
        <v>10</v>
      </c>
      <c r="G417" s="6" t="n">
        <v>2.1</v>
      </c>
      <c r="H417" s="6" t="n">
        <v>3</v>
      </c>
      <c r="I417" s="6" t="n">
        <v>21</v>
      </c>
      <c r="J417" s="6" t="n">
        <v>18</v>
      </c>
    </row>
    <row collapsed="false" customFormat="false" customHeight="false" hidden="false" ht="12.1" outlineLevel="0" r="418">
      <c r="A418" s="39" t="n">
        <v>46235</v>
      </c>
      <c r="B418" s="16" t="s">
        <v>887</v>
      </c>
      <c r="C418" s="16" t="s">
        <v>237</v>
      </c>
      <c r="D418" s="16" t="s">
        <v>238</v>
      </c>
      <c r="E418" s="6" t="n">
        <v>54.489999999999995</v>
      </c>
      <c r="F418" s="7" t="n">
        <v>10</v>
      </c>
      <c r="G418" s="6" t="n">
        <v>0.13</v>
      </c>
      <c r="H418" s="6" t="n">
        <v>0</v>
      </c>
      <c r="I418" s="6" t="n">
        <v>1.3</v>
      </c>
      <c r="J418" s="6" t="n">
        <v>1.3</v>
      </c>
    </row>
    <row collapsed="false" customFormat="false" customHeight="false" hidden="false" ht="12.1" outlineLevel="0" r="419">
      <c r="A419" s="39" t="n">
        <v>46245</v>
      </c>
      <c r="B419" s="16" t="s">
        <v>887</v>
      </c>
      <c r="C419" s="16" t="s">
        <v>138</v>
      </c>
      <c r="D419" s="16" t="s">
        <v>139</v>
      </c>
      <c r="E419" s="6" t="n">
        <v>1000</v>
      </c>
      <c r="F419" s="7" t="n">
        <v>80</v>
      </c>
      <c r="G419" s="6" t="n">
        <v>34.9</v>
      </c>
      <c r="H419" s="6" t="n">
        <v>363</v>
      </c>
      <c r="I419" s="6" t="n">
        <v>2792</v>
      </c>
      <c r="J419" s="6" t="n">
        <v>2429</v>
      </c>
    </row>
    <row collapsed="false" customFormat="false" customHeight="false" hidden="false" ht="12.1" outlineLevel="0" r="420">
      <c r="A420" s="39" t="n">
        <v>46246</v>
      </c>
      <c r="B420" s="16" t="s">
        <v>887</v>
      </c>
      <c r="C420" s="16" t="s">
        <v>219</v>
      </c>
      <c r="D420" s="16" t="s">
        <v>220</v>
      </c>
      <c r="E420" s="6" t="n">
        <v>600</v>
      </c>
      <c r="F420" s="7" t="n">
        <v>5</v>
      </c>
      <c r="G420" s="6" t="n">
        <v>23.93</v>
      </c>
      <c r="H420" s="6" t="n">
        <v>16</v>
      </c>
      <c r="I420" s="6" t="n">
        <v>119.65</v>
      </c>
      <c r="J420" s="6" t="n">
        <v>103.65</v>
      </c>
    </row>
    <row collapsed="false" customFormat="false" customHeight="false" hidden="false" ht="12.1" outlineLevel="0" r="421">
      <c r="A421" s="39" t="n">
        <v>46247</v>
      </c>
      <c r="B421" s="16" t="s">
        <v>887</v>
      </c>
      <c r="C421" s="16" t="s">
        <v>222</v>
      </c>
      <c r="D421" s="16" t="s">
        <v>223</v>
      </c>
      <c r="E421" s="6" t="n">
        <v>1000</v>
      </c>
      <c r="F421" s="7" t="n">
        <v>2</v>
      </c>
      <c r="G421" s="6" t="n">
        <v>66.32</v>
      </c>
      <c r="H421" s="6" t="n">
        <v>17</v>
      </c>
      <c r="I421" s="6" t="n">
        <v>132.64</v>
      </c>
      <c r="J421" s="6" t="n">
        <v>115.64</v>
      </c>
    </row>
    <row collapsed="false" customFormat="false" customHeight="false" hidden="false" ht="12.1" outlineLevel="0" r="422">
      <c r="A422" s="39" t="n">
        <v>46249</v>
      </c>
      <c r="B422" s="16" t="s">
        <v>887</v>
      </c>
      <c r="C422" s="16" t="s">
        <v>147</v>
      </c>
      <c r="D422" s="16" t="s">
        <v>148</v>
      </c>
      <c r="E422" s="6" t="n">
        <v>1000</v>
      </c>
      <c r="F422" s="7" t="n">
        <v>41</v>
      </c>
      <c r="G422" s="6" t="n">
        <v>8.38</v>
      </c>
      <c r="H422" s="6" t="n">
        <v>45</v>
      </c>
      <c r="I422" s="6" t="n">
        <v>343.58</v>
      </c>
      <c r="J422" s="6" t="n">
        <v>298.58</v>
      </c>
    </row>
    <row collapsed="false" customFormat="false" customHeight="false" hidden="false" ht="12.1" outlineLevel="0" r="423">
      <c r="A423" s="39" t="n">
        <v>46252</v>
      </c>
      <c r="B423" s="16" t="s">
        <v>887</v>
      </c>
      <c r="C423" s="16" t="s">
        <v>192</v>
      </c>
      <c r="D423" s="16" t="s">
        <v>193</v>
      </c>
      <c r="E423" s="6" t="n">
        <v>1000</v>
      </c>
      <c r="F423" s="7" t="n">
        <v>5</v>
      </c>
      <c r="G423" s="6" t="n">
        <v>52.36</v>
      </c>
      <c r="H423" s="6" t="n">
        <v>34</v>
      </c>
      <c r="I423" s="6" t="n">
        <v>261.8</v>
      </c>
      <c r="J423" s="6" t="n">
        <v>227.8</v>
      </c>
    </row>
    <row collapsed="false" customFormat="false" customHeight="false" hidden="false" ht="12.1" outlineLevel="0" r="424">
      <c r="A424" s="39" t="n">
        <v>46254</v>
      </c>
      <c r="B424" s="16" t="s">
        <v>887</v>
      </c>
      <c r="C424" s="16" t="s">
        <v>189</v>
      </c>
      <c r="D424" s="16" t="s">
        <v>190</v>
      </c>
      <c r="E424" s="6" t="n">
        <v>1000</v>
      </c>
      <c r="F424" s="7" t="n">
        <v>5</v>
      </c>
      <c r="G424" s="6" t="n">
        <v>19.73</v>
      </c>
      <c r="H424" s="6" t="n">
        <v>13</v>
      </c>
      <c r="I424" s="6" t="n">
        <v>98.65</v>
      </c>
      <c r="J424" s="6" t="n">
        <v>85.65</v>
      </c>
    </row>
    <row collapsed="false" customFormat="false" customHeight="false" hidden="false" ht="12.1" outlineLevel="0" r="425">
      <c r="A425" s="39" t="n">
        <v>46256</v>
      </c>
      <c r="B425" s="16" t="s">
        <v>887</v>
      </c>
      <c r="C425" s="16" t="s">
        <v>177</v>
      </c>
      <c r="D425" s="16" t="s">
        <v>178</v>
      </c>
      <c r="E425" s="6" t="n">
        <v>1000</v>
      </c>
      <c r="F425" s="7" t="n">
        <v>17</v>
      </c>
      <c r="G425" s="6" t="n">
        <v>11.26</v>
      </c>
      <c r="H425" s="6" t="n">
        <v>25</v>
      </c>
      <c r="I425" s="6" t="n">
        <v>191.42</v>
      </c>
      <c r="J425" s="6" t="n">
        <v>166.42</v>
      </c>
    </row>
    <row collapsed="false" customFormat="false" customHeight="false" hidden="false" ht="12.1" outlineLevel="0" r="426">
      <c r="A426" s="39" t="n">
        <v>46258</v>
      </c>
      <c r="B426" s="16" t="s">
        <v>887</v>
      </c>
      <c r="C426" s="16" t="s">
        <v>162</v>
      </c>
      <c r="D426" s="16" t="s">
        <v>163</v>
      </c>
      <c r="E426" s="6" t="n">
        <v>1000</v>
      </c>
      <c r="F426" s="7" t="n">
        <v>19</v>
      </c>
      <c r="G426" s="6" t="n">
        <v>34.28</v>
      </c>
      <c r="H426" s="6" t="n">
        <v>85</v>
      </c>
      <c r="I426" s="6" t="n">
        <v>651.32</v>
      </c>
      <c r="J426" s="6" t="n">
        <v>566.32</v>
      </c>
    </row>
    <row collapsed="false" customFormat="false" customHeight="false" hidden="false" ht="12.1" outlineLevel="0" r="427">
      <c r="A427" s="39" t="n">
        <v>46262</v>
      </c>
      <c r="B427" s="16" t="s">
        <v>887</v>
      </c>
      <c r="C427" s="16" t="s">
        <v>240</v>
      </c>
      <c r="D427" s="16" t="s">
        <v>241</v>
      </c>
      <c r="E427" s="6" t="n">
        <v>0</v>
      </c>
      <c r="F427" s="7" t="n">
        <v>-2</v>
      </c>
      <c r="G427" s="6" t="n">
        <v>8.22</v>
      </c>
      <c r="H427" s="6" t="n">
        <v>-2</v>
      </c>
      <c r="I427" s="6" t="n">
        <v>-16.44</v>
      </c>
      <c r="J427" s="6" t="n">
        <v>-14.44</v>
      </c>
    </row>
    <row collapsed="false" customFormat="false" customHeight="false" hidden="false" ht="12.1" outlineLevel="0" r="428">
      <c r="A428" s="39" t="n">
        <v>46262</v>
      </c>
      <c r="B428" s="16" t="s">
        <v>887</v>
      </c>
      <c r="C428" s="16" t="s">
        <v>201</v>
      </c>
      <c r="D428" s="16" t="s">
        <v>202</v>
      </c>
      <c r="E428" s="6" t="n">
        <v>1000</v>
      </c>
      <c r="F428" s="7" t="n">
        <v>5</v>
      </c>
      <c r="G428" s="6" t="n">
        <v>17.47</v>
      </c>
      <c r="H428" s="6" t="n">
        <v>11</v>
      </c>
      <c r="I428" s="6" t="n">
        <v>87.35</v>
      </c>
      <c r="J428" s="6" t="n">
        <v>76.35</v>
      </c>
    </row>
    <row collapsed="false" customFormat="false" customHeight="false" hidden="false" ht="12.1" outlineLevel="0" r="429">
      <c r="A429" s="39" t="n">
        <v>46265</v>
      </c>
      <c r="B429" s="16" t="s">
        <v>887</v>
      </c>
      <c r="C429" s="16" t="s">
        <v>213</v>
      </c>
      <c r="D429" s="16" t="s">
        <v>214</v>
      </c>
      <c r="E429" s="6" t="n">
        <v>360</v>
      </c>
      <c r="F429" s="7" t="n">
        <v>10</v>
      </c>
      <c r="G429" s="6" t="n">
        <v>1.58</v>
      </c>
      <c r="H429" s="6" t="n">
        <v>2</v>
      </c>
      <c r="I429" s="6" t="n">
        <v>15.8</v>
      </c>
      <c r="J429" s="6" t="n">
        <v>13.8</v>
      </c>
    </row>
    <row collapsed="false" customFormat="false" customHeight="false" hidden="false" ht="12.1" outlineLevel="0" r="430">
      <c r="A430" s="39" t="n">
        <v>46265</v>
      </c>
      <c r="B430" s="16" t="s">
        <v>887</v>
      </c>
      <c r="C430" s="16" t="s">
        <v>228</v>
      </c>
      <c r="D430" s="16" t="s">
        <v>229</v>
      </c>
      <c r="E430" s="6" t="n">
        <v>211.35000000000002</v>
      </c>
      <c r="F430" s="7" t="n">
        <v>7</v>
      </c>
      <c r="G430" s="6" t="n">
        <v>0.52</v>
      </c>
      <c r="H430" s="6" t="n">
        <v>0</v>
      </c>
      <c r="I430" s="6" t="n">
        <v>3.64</v>
      </c>
      <c r="J430" s="6" t="n">
        <v>3.64</v>
      </c>
    </row>
    <row collapsed="false" customFormat="false" customHeight="false" hidden="false" ht="12.1" outlineLevel="0" r="431">
      <c r="A431" s="39" t="n">
        <v>46266</v>
      </c>
      <c r="B431" s="16" t="s">
        <v>887</v>
      </c>
      <c r="C431" s="16" t="s">
        <v>237</v>
      </c>
      <c r="D431" s="16" t="s">
        <v>238</v>
      </c>
      <c r="E431" s="6" t="n">
        <v>54.489999999999995</v>
      </c>
      <c r="F431" s="7" t="n">
        <v>10</v>
      </c>
      <c r="G431" s="6" t="n">
        <v>0.13</v>
      </c>
      <c r="H431" s="6" t="n">
        <v>0</v>
      </c>
      <c r="I431" s="6" t="n">
        <v>1.3</v>
      </c>
      <c r="J431" s="6" t="n">
        <v>1.3</v>
      </c>
    </row>
    <row collapsed="false" customFormat="false" customHeight="false" hidden="false" ht="12.1" outlineLevel="0" r="432">
      <c r="A432" s="39" t="n">
        <v>46266</v>
      </c>
      <c r="B432" s="16" t="s">
        <v>887</v>
      </c>
      <c r="C432" s="16" t="s">
        <v>207</v>
      </c>
      <c r="D432" s="16" t="s">
        <v>208</v>
      </c>
      <c r="E432" s="6" t="n">
        <v>1000</v>
      </c>
      <c r="F432" s="7" t="n">
        <v>5</v>
      </c>
      <c r="G432" s="6" t="n">
        <v>46.12</v>
      </c>
      <c r="H432" s="6" t="n">
        <v>30</v>
      </c>
      <c r="I432" s="6" t="n">
        <v>230.6</v>
      </c>
      <c r="J432" s="6" t="n">
        <v>200.6</v>
      </c>
    </row>
    <row collapsed="false" customFormat="false" customHeight="false" hidden="false" ht="12.1" outlineLevel="0" r="433">
      <c r="A433" s="39" t="n">
        <v>46273</v>
      </c>
      <c r="B433" s="16" t="s">
        <v>887</v>
      </c>
      <c r="C433" s="16" t="s">
        <v>234</v>
      </c>
      <c r="D433" s="16" t="s">
        <v>235</v>
      </c>
      <c r="E433" s="6" t="n">
        <v>552.59</v>
      </c>
      <c r="F433" s="7" t="n">
        <v>1</v>
      </c>
      <c r="G433" s="6" t="n">
        <v>22.6</v>
      </c>
      <c r="H433" s="6" t="n">
        <v>3</v>
      </c>
      <c r="I433" s="6" t="n">
        <v>22.6</v>
      </c>
      <c r="J433" s="6" t="n">
        <v>19.6</v>
      </c>
    </row>
    <row collapsed="false" customFormat="false" customHeight="false" hidden="false" ht="12.1" outlineLevel="0" r="434">
      <c r="A434" s="39" t="n">
        <v>46275</v>
      </c>
      <c r="B434" s="16" t="s">
        <v>887</v>
      </c>
      <c r="C434" s="16" t="s">
        <v>171</v>
      </c>
      <c r="D434" s="16" t="s">
        <v>172</v>
      </c>
      <c r="E434" s="6" t="n">
        <v>1000</v>
      </c>
      <c r="F434" s="7" t="n">
        <v>20</v>
      </c>
      <c r="G434" s="6" t="n">
        <v>17.83</v>
      </c>
      <c r="H434" s="6" t="n">
        <v>46</v>
      </c>
      <c r="I434" s="6" t="n">
        <v>356.6</v>
      </c>
      <c r="J434" s="6" t="n">
        <v>310.6</v>
      </c>
    </row>
    <row collapsed="false" customFormat="false" customHeight="false" hidden="false" ht="12.1" outlineLevel="0" r="435">
      <c r="A435" s="39" t="n">
        <v>46279</v>
      </c>
      <c r="B435" s="16" t="s">
        <v>887</v>
      </c>
      <c r="C435" s="16" t="s">
        <v>147</v>
      </c>
      <c r="D435" s="16" t="s">
        <v>148</v>
      </c>
      <c r="E435" s="6" t="n">
        <v>1000</v>
      </c>
      <c r="F435" s="7" t="n">
        <v>41</v>
      </c>
      <c r="G435" s="6" t="n">
        <v>8.38</v>
      </c>
      <c r="H435" s="6" t="n">
        <v>45</v>
      </c>
      <c r="I435" s="6" t="n">
        <v>343.58</v>
      </c>
      <c r="J435" s="6" t="n">
        <v>298.58</v>
      </c>
    </row>
    <row collapsed="false" customFormat="false" customHeight="false" hidden="false" ht="12.1" outlineLevel="0" r="436">
      <c r="A436" s="39" t="n">
        <v>46280</v>
      </c>
      <c r="B436" s="16" t="s">
        <v>887</v>
      </c>
      <c r="C436" s="16" t="s">
        <v>156</v>
      </c>
      <c r="D436" s="16" t="s">
        <v>157</v>
      </c>
      <c r="E436" s="6" t="n">
        <v>1000</v>
      </c>
      <c r="F436" s="7" t="n">
        <v>34</v>
      </c>
      <c r="G436" s="6" t="n">
        <v>33.41</v>
      </c>
      <c r="H436" s="6" t="n">
        <v>148</v>
      </c>
      <c r="I436" s="6" t="n">
        <v>1135.94</v>
      </c>
      <c r="J436" s="6" t="n">
        <v>987.94</v>
      </c>
    </row>
    <row collapsed="false" customFormat="false" customHeight="false" hidden="false" ht="12.1" outlineLevel="0" r="437">
      <c r="A437" s="39" t="n">
        <v>46280</v>
      </c>
      <c r="B437" s="16" t="s">
        <v>887</v>
      </c>
      <c r="C437" s="16" t="s">
        <v>174</v>
      </c>
      <c r="D437" s="16" t="s">
        <v>175</v>
      </c>
      <c r="E437" s="6" t="n">
        <v>1000</v>
      </c>
      <c r="F437" s="7" t="n">
        <v>15</v>
      </c>
      <c r="G437" s="6" t="n">
        <v>38.64</v>
      </c>
      <c r="H437" s="6" t="n">
        <v>75</v>
      </c>
      <c r="I437" s="6" t="n">
        <v>579.6</v>
      </c>
      <c r="J437" s="6" t="n">
        <v>504.6</v>
      </c>
    </row>
    <row collapsed="false" customFormat="false" customHeight="false" hidden="false" ht="12.1" outlineLevel="0" r="438">
      <c r="A438" s="39" t="n">
        <v>46284</v>
      </c>
      <c r="B438" s="16" t="s">
        <v>887</v>
      </c>
      <c r="C438" s="16" t="s">
        <v>189</v>
      </c>
      <c r="D438" s="16" t="s">
        <v>190</v>
      </c>
      <c r="E438" s="6" t="n">
        <v>1000</v>
      </c>
      <c r="F438" s="7" t="n">
        <v>5</v>
      </c>
      <c r="G438" s="6" t="n">
        <v>19.73</v>
      </c>
      <c r="H438" s="6" t="n">
        <v>13</v>
      </c>
      <c r="I438" s="6" t="n">
        <v>98.65</v>
      </c>
      <c r="J438" s="6" t="n">
        <v>85.65</v>
      </c>
    </row>
    <row collapsed="false" customFormat="false" customHeight="false" hidden="false" ht="12.1" outlineLevel="0" r="439">
      <c r="A439" s="39" t="n">
        <v>46286</v>
      </c>
      <c r="B439" s="16" t="s">
        <v>887</v>
      </c>
      <c r="C439" s="16" t="s">
        <v>177</v>
      </c>
      <c r="D439" s="16" t="s">
        <v>178</v>
      </c>
      <c r="E439" s="6" t="n">
        <v>1000</v>
      </c>
      <c r="F439" s="7" t="n">
        <v>17</v>
      </c>
      <c r="G439" s="6" t="n">
        <v>11.26</v>
      </c>
      <c r="H439" s="6" t="n">
        <v>25</v>
      </c>
      <c r="I439" s="6" t="n">
        <v>191.42</v>
      </c>
      <c r="J439" s="6" t="n">
        <v>166.42</v>
      </c>
    </row>
    <row collapsed="false" customFormat="false" customHeight="false" hidden="false" ht="12.1" outlineLevel="0" r="440">
      <c r="A440" s="39" t="n">
        <v>46287</v>
      </c>
      <c r="B440" s="16" t="s">
        <v>887</v>
      </c>
      <c r="C440" s="16" t="s">
        <v>144</v>
      </c>
      <c r="D440" s="16" t="s">
        <v>145</v>
      </c>
      <c r="E440" s="6" t="n">
        <v>1000</v>
      </c>
      <c r="F440" s="7" t="n">
        <v>40</v>
      </c>
      <c r="G440" s="6" t="n">
        <v>56.1</v>
      </c>
      <c r="H440" s="6" t="n">
        <v>292</v>
      </c>
      <c r="I440" s="6" t="n">
        <v>2244</v>
      </c>
      <c r="J440" s="6" t="n">
        <v>1952</v>
      </c>
    </row>
    <row collapsed="false" customFormat="false" customHeight="false" hidden="false" ht="12.1" outlineLevel="0" r="441">
      <c r="A441" s="39" t="n">
        <v>46287</v>
      </c>
      <c r="B441" s="16" t="s">
        <v>887</v>
      </c>
      <c r="C441" s="16" t="s">
        <v>153</v>
      </c>
      <c r="D441" s="16" t="s">
        <v>154</v>
      </c>
      <c r="E441" s="6" t="n">
        <v>1000</v>
      </c>
      <c r="F441" s="7" t="n">
        <v>34</v>
      </c>
      <c r="G441" s="6" t="n">
        <v>59.84</v>
      </c>
      <c r="H441" s="6" t="n">
        <v>264</v>
      </c>
      <c r="I441" s="6" t="n">
        <v>2034.56</v>
      </c>
      <c r="J441" s="6" t="n">
        <v>1770.56</v>
      </c>
    </row>
    <row collapsed="false" customFormat="false" customHeight="false" hidden="false" ht="12.1" outlineLevel="0" r="442">
      <c r="A442" s="39" t="n">
        <v>46292</v>
      </c>
      <c r="B442" s="16" t="s">
        <v>887</v>
      </c>
      <c r="C442" s="16" t="s">
        <v>201</v>
      </c>
      <c r="D442" s="16" t="s">
        <v>202</v>
      </c>
      <c r="E442" s="6" t="n">
        <v>1000</v>
      </c>
      <c r="F442" s="7" t="n">
        <v>5</v>
      </c>
      <c r="G442" s="6" t="n">
        <v>17.47</v>
      </c>
      <c r="H442" s="6" t="n">
        <v>11</v>
      </c>
      <c r="I442" s="6" t="n">
        <v>87.35</v>
      </c>
      <c r="J442" s="6" t="n">
        <v>76.35</v>
      </c>
    </row>
    <row collapsed="false" customFormat="false" customHeight="false" hidden="false" ht="12.1" outlineLevel="0" r="443">
      <c r="A443" s="39" t="n">
        <v>46292</v>
      </c>
      <c r="B443" s="16" t="s">
        <v>887</v>
      </c>
      <c r="C443" s="16" t="s">
        <v>240</v>
      </c>
      <c r="D443" s="16" t="s">
        <v>241</v>
      </c>
      <c r="E443" s="6" t="n">
        <v>0</v>
      </c>
      <c r="F443" s="7" t="n">
        <v>-2</v>
      </c>
      <c r="G443" s="6" t="n">
        <v>8.22</v>
      </c>
      <c r="H443" s="6" t="n">
        <v>-2</v>
      </c>
      <c r="I443" s="6" t="n">
        <v>-16.44</v>
      </c>
      <c r="J443" s="6" t="n">
        <v>-14.44</v>
      </c>
    </row>
    <row collapsed="false" customFormat="false" customHeight="false" hidden="false" ht="12.1" outlineLevel="0" r="444">
      <c r="A444" s="39" t="n">
        <v>46294</v>
      </c>
      <c r="B444" s="16" t="s">
        <v>887</v>
      </c>
      <c r="C444" s="16" t="s">
        <v>150</v>
      </c>
      <c r="D444" s="16" t="s">
        <v>151</v>
      </c>
      <c r="E444" s="6" t="n">
        <v>1000</v>
      </c>
      <c r="F444" s="7" t="n">
        <v>45</v>
      </c>
      <c r="G444" s="6" t="n">
        <v>38.39</v>
      </c>
      <c r="H444" s="6" t="n">
        <v>225</v>
      </c>
      <c r="I444" s="6" t="n">
        <v>1727.55</v>
      </c>
      <c r="J444" s="6" t="n">
        <v>1502.55</v>
      </c>
    </row>
    <row collapsed="false" customFormat="false" customHeight="false" hidden="false" ht="12.1" outlineLevel="0" r="445">
      <c r="A445" s="39" t="n">
        <v>46295</v>
      </c>
      <c r="B445" s="16" t="s">
        <v>887</v>
      </c>
      <c r="C445" s="16" t="s">
        <v>213</v>
      </c>
      <c r="D445" s="16" t="s">
        <v>214</v>
      </c>
      <c r="E445" s="6" t="n">
        <v>360</v>
      </c>
      <c r="F445" s="7" t="n">
        <v>10</v>
      </c>
      <c r="G445" s="6" t="n">
        <v>1.05</v>
      </c>
      <c r="H445" s="6" t="n">
        <v>1</v>
      </c>
      <c r="I445" s="6" t="n">
        <v>10.5</v>
      </c>
      <c r="J445" s="6" t="n">
        <v>9.5</v>
      </c>
    </row>
    <row collapsed="false" customFormat="false" customHeight="false" hidden="false" ht="12.1" outlineLevel="0" r="446">
      <c r="A446" s="39" t="n">
        <v>46295</v>
      </c>
      <c r="B446" s="16" t="s">
        <v>887</v>
      </c>
      <c r="C446" s="16" t="s">
        <v>228</v>
      </c>
      <c r="D446" s="16" t="s">
        <v>229</v>
      </c>
      <c r="E446" s="6" t="n">
        <v>211.35000000000002</v>
      </c>
      <c r="F446" s="7" t="n">
        <v>7</v>
      </c>
      <c r="G446" s="6" t="n">
        <v>0.37</v>
      </c>
      <c r="H446" s="6" t="n">
        <v>0</v>
      </c>
      <c r="I446" s="6" t="n">
        <v>2.59</v>
      </c>
      <c r="J446" s="6" t="n">
        <v>2.59</v>
      </c>
    </row>
    <row collapsed="false" customFormat="false" customHeight="false" hidden="false" ht="12.1" outlineLevel="0" r="447">
      <c r="A447" s="39" t="n">
        <v>46296</v>
      </c>
      <c r="B447" s="16" t="s">
        <v>887</v>
      </c>
      <c r="C447" s="16" t="s">
        <v>237</v>
      </c>
      <c r="D447" s="16" t="s">
        <v>238</v>
      </c>
      <c r="E447" s="6" t="n">
        <v>54.489999999999995</v>
      </c>
      <c r="F447" s="7" t="n">
        <v>10</v>
      </c>
      <c r="G447" s="6" t="n">
        <v>0.13</v>
      </c>
      <c r="H447" s="6" t="n">
        <v>0</v>
      </c>
      <c r="I447" s="6" t="n">
        <v>1.3</v>
      </c>
      <c r="J447" s="6" t="n">
        <v>1.3</v>
      </c>
    </row>
    <row collapsed="false" customFormat="false" customHeight="false" hidden="false" ht="12.1" outlineLevel="0" r="448">
      <c r="A448" s="39" t="n">
        <v>46309</v>
      </c>
      <c r="B448" s="16" t="s">
        <v>887</v>
      </c>
      <c r="C448" s="16" t="s">
        <v>147</v>
      </c>
      <c r="D448" s="16" t="s">
        <v>148</v>
      </c>
      <c r="E448" s="6" t="n">
        <v>1000</v>
      </c>
      <c r="F448" s="7" t="n">
        <v>41</v>
      </c>
      <c r="G448" s="6" t="n">
        <v>5.59</v>
      </c>
      <c r="H448" s="6" t="n">
        <v>30</v>
      </c>
      <c r="I448" s="6" t="n">
        <v>229.19</v>
      </c>
      <c r="J448" s="6" t="n">
        <v>199.19</v>
      </c>
    </row>
    <row collapsed="false" customFormat="false" customHeight="false" hidden="false" ht="12.1" outlineLevel="0" r="449">
      <c r="A449" s="39" t="n">
        <v>46314</v>
      </c>
      <c r="B449" s="16" t="s">
        <v>887</v>
      </c>
      <c r="C449" s="16" t="s">
        <v>189</v>
      </c>
      <c r="D449" s="16" t="s">
        <v>190</v>
      </c>
      <c r="E449" s="6" t="n">
        <v>1000</v>
      </c>
      <c r="F449" s="7" t="n">
        <v>5</v>
      </c>
      <c r="G449" s="6" t="n">
        <v>19.73</v>
      </c>
      <c r="H449" s="6" t="n">
        <v>13</v>
      </c>
      <c r="I449" s="6" t="n">
        <v>98.65</v>
      </c>
      <c r="J449" s="6" t="n">
        <v>85.65</v>
      </c>
    </row>
    <row collapsed="false" customFormat="false" customHeight="false" hidden="false" ht="12.1" outlineLevel="0" r="450">
      <c r="A450" s="39" t="n">
        <v>46315</v>
      </c>
      <c r="B450" s="16" t="s">
        <v>887</v>
      </c>
      <c r="C450" s="16" t="s">
        <v>183</v>
      </c>
      <c r="D450" s="16" t="s">
        <v>184</v>
      </c>
      <c r="E450" s="6" t="n">
        <v>1000</v>
      </c>
      <c r="F450" s="7" t="n">
        <v>9</v>
      </c>
      <c r="G450" s="6" t="n">
        <v>64.82</v>
      </c>
      <c r="H450" s="6" t="n">
        <v>76</v>
      </c>
      <c r="I450" s="6" t="n">
        <v>583.38</v>
      </c>
      <c r="J450" s="6" t="n">
        <v>507.38</v>
      </c>
    </row>
    <row collapsed="false" customFormat="false" customHeight="false" hidden="false" ht="12.1" outlineLevel="0" r="451">
      <c r="A451" s="39" t="n">
        <v>46316</v>
      </c>
      <c r="B451" s="16" t="s">
        <v>887</v>
      </c>
      <c r="C451" s="16" t="s">
        <v>180</v>
      </c>
      <c r="D451" s="16" t="s">
        <v>181</v>
      </c>
      <c r="E451" s="6" t="n">
        <v>1000</v>
      </c>
      <c r="F451" s="7" t="n">
        <v>12</v>
      </c>
      <c r="G451" s="6" t="n">
        <v>16.83</v>
      </c>
      <c r="H451" s="6" t="n">
        <v>26</v>
      </c>
      <c r="I451" s="6" t="n">
        <v>201.96</v>
      </c>
      <c r="J451" s="6" t="n">
        <v>175.96</v>
      </c>
    </row>
    <row collapsed="false" customFormat="false" customHeight="false" hidden="false" ht="12.1" outlineLevel="0" r="452">
      <c r="A452" s="39" t="n">
        <v>46316</v>
      </c>
      <c r="B452" s="16" t="s">
        <v>887</v>
      </c>
      <c r="C452" s="16" t="s">
        <v>177</v>
      </c>
      <c r="D452" s="16" t="s">
        <v>178</v>
      </c>
      <c r="E452" s="6" t="n">
        <v>1000</v>
      </c>
      <c r="F452" s="7" t="n">
        <v>17</v>
      </c>
      <c r="G452" s="6" t="n">
        <v>11.26</v>
      </c>
      <c r="H452" s="6" t="n">
        <v>25</v>
      </c>
      <c r="I452" s="6" t="n">
        <v>191.42</v>
      </c>
      <c r="J452" s="6" t="n">
        <v>166.42</v>
      </c>
    </row>
    <row collapsed="false" customFormat="false" customHeight="false" hidden="false" ht="12.1" outlineLevel="0" r="453">
      <c r="A453" s="39" t="n">
        <v>46322</v>
      </c>
      <c r="B453" s="16" t="s">
        <v>887</v>
      </c>
      <c r="C453" s="16" t="s">
        <v>240</v>
      </c>
      <c r="D453" s="16" t="s">
        <v>241</v>
      </c>
      <c r="E453" s="6" t="n">
        <v>0</v>
      </c>
      <c r="F453" s="7" t="n">
        <v>-2</v>
      </c>
      <c r="G453" s="6" t="n">
        <v>8.22</v>
      </c>
      <c r="H453" s="6" t="n">
        <v>-2</v>
      </c>
      <c r="I453" s="6" t="n">
        <v>-16.44</v>
      </c>
      <c r="J453" s="6" t="n">
        <v>-14.44</v>
      </c>
    </row>
    <row collapsed="false" customFormat="false" customHeight="false" hidden="false" ht="12.1" outlineLevel="0" r="454">
      <c r="A454" s="39" t="n">
        <v>46324</v>
      </c>
      <c r="B454" s="16" t="s">
        <v>887</v>
      </c>
      <c r="C454" s="16" t="s">
        <v>195</v>
      </c>
      <c r="D454" s="16" t="s">
        <v>196</v>
      </c>
      <c r="E454" s="6" t="n">
        <v>1000</v>
      </c>
      <c r="F454" s="7" t="n">
        <v>5</v>
      </c>
      <c r="G454" s="6" t="n">
        <v>64.82</v>
      </c>
      <c r="H454" s="6" t="n">
        <v>42</v>
      </c>
      <c r="I454" s="6" t="n">
        <v>324.1</v>
      </c>
      <c r="J454" s="6" t="n">
        <v>282.1</v>
      </c>
    </row>
    <row collapsed="false" customFormat="false" customHeight="false" hidden="false" ht="12.1" outlineLevel="0" r="455">
      <c r="A455" s="39" t="n">
        <v>46325</v>
      </c>
      <c r="B455" s="16" t="s">
        <v>887</v>
      </c>
      <c r="C455" s="16" t="s">
        <v>213</v>
      </c>
      <c r="D455" s="16" t="s">
        <v>214</v>
      </c>
      <c r="E455" s="6" t="n">
        <v>360</v>
      </c>
      <c r="F455" s="7" t="n">
        <v>10</v>
      </c>
      <c r="G455" s="6" t="n">
        <v>0.53</v>
      </c>
      <c r="H455" s="6" t="n">
        <v>1</v>
      </c>
      <c r="I455" s="6" t="n">
        <v>5.3</v>
      </c>
      <c r="J455" s="6" t="n">
        <v>4.3</v>
      </c>
    </row>
    <row collapsed="false" customFormat="false" customHeight="false" hidden="false" ht="12.1" outlineLevel="0" r="456">
      <c r="A456" s="39" t="n">
        <v>46326</v>
      </c>
      <c r="B456" s="16" t="s">
        <v>887</v>
      </c>
      <c r="C456" s="16" t="s">
        <v>228</v>
      </c>
      <c r="D456" s="16" t="s">
        <v>229</v>
      </c>
      <c r="E456" s="6" t="n">
        <v>211.35000000000002</v>
      </c>
      <c r="F456" s="7" t="n">
        <v>7</v>
      </c>
      <c r="G456" s="6" t="n">
        <v>0.26</v>
      </c>
      <c r="H456" s="6" t="n">
        <v>0</v>
      </c>
      <c r="I456" s="6" t="n">
        <v>1.82</v>
      </c>
      <c r="J456" s="6" t="n">
        <v>1.82</v>
      </c>
    </row>
    <row collapsed="false" customFormat="false" customHeight="false" hidden="false" ht="12.1" outlineLevel="0" r="457">
      <c r="A457" s="39" t="n">
        <v>46327</v>
      </c>
      <c r="B457" s="16" t="s">
        <v>887</v>
      </c>
      <c r="C457" s="16" t="s">
        <v>237</v>
      </c>
      <c r="D457" s="16" t="s">
        <v>238</v>
      </c>
      <c r="E457" s="6" t="n">
        <v>54.489999999999995</v>
      </c>
      <c r="F457" s="7" t="n">
        <v>10</v>
      </c>
      <c r="G457" s="6" t="n">
        <v>0.13</v>
      </c>
      <c r="H457" s="6" t="n">
        <v>0</v>
      </c>
      <c r="I457" s="6" t="n">
        <v>1.3</v>
      </c>
      <c r="J457" s="6" t="n">
        <v>1.3</v>
      </c>
    </row>
    <row collapsed="false" customFormat="false" customHeight="false" hidden="false" ht="12.1" outlineLevel="0" r="458">
      <c r="A458" s="39" t="n">
        <v>46337</v>
      </c>
      <c r="B458" s="16" t="s">
        <v>887</v>
      </c>
      <c r="C458" s="16" t="s">
        <v>219</v>
      </c>
      <c r="D458" s="16" t="s">
        <v>220</v>
      </c>
      <c r="E458" s="6" t="n">
        <v>600</v>
      </c>
      <c r="F458" s="7" t="n">
        <v>5</v>
      </c>
      <c r="G458" s="6" t="n">
        <v>23.93</v>
      </c>
      <c r="H458" s="6" t="n">
        <v>16</v>
      </c>
      <c r="I458" s="6" t="n">
        <v>119.65</v>
      </c>
      <c r="J458" s="6" t="n">
        <v>103.65</v>
      </c>
    </row>
    <row collapsed="false" customFormat="false" customHeight="false" hidden="false" ht="12.1" outlineLevel="0" r="459">
      <c r="A459" s="39" t="n">
        <v>46339</v>
      </c>
      <c r="B459" s="16" t="s">
        <v>887</v>
      </c>
      <c r="C459" s="16" t="s">
        <v>147</v>
      </c>
      <c r="D459" s="16" t="s">
        <v>148</v>
      </c>
      <c r="E459" s="6" t="n">
        <v>1000</v>
      </c>
      <c r="F459" s="7" t="n">
        <v>41</v>
      </c>
      <c r="G459" s="6" t="n">
        <v>5.59</v>
      </c>
      <c r="H459" s="6" t="n">
        <v>30</v>
      </c>
      <c r="I459" s="6" t="n">
        <v>229.19</v>
      </c>
      <c r="J459" s="6" t="n">
        <v>199.19</v>
      </c>
    </row>
    <row collapsed="false" customFormat="false" customHeight="false" hidden="false" ht="12.1" outlineLevel="0" r="460">
      <c r="A460" s="39" t="n">
        <v>46342</v>
      </c>
      <c r="B460" s="16" t="s">
        <v>887</v>
      </c>
      <c r="C460" s="16" t="s">
        <v>225</v>
      </c>
      <c r="D460" s="16" t="s">
        <v>226</v>
      </c>
      <c r="E460" s="6" t="n">
        <v>1000</v>
      </c>
      <c r="F460" s="7" t="n">
        <v>2</v>
      </c>
      <c r="G460" s="6" t="n">
        <v>76.94</v>
      </c>
      <c r="H460" s="6" t="n">
        <v>20</v>
      </c>
      <c r="I460" s="6" t="n">
        <v>153.88</v>
      </c>
      <c r="J460" s="6" t="n">
        <v>133.88</v>
      </c>
    </row>
    <row collapsed="false" customFormat="false" customHeight="false" hidden="false" ht="12.1" outlineLevel="0" r="461">
      <c r="A461" s="39" t="n">
        <v>46343</v>
      </c>
      <c r="B461" s="16" t="s">
        <v>887</v>
      </c>
      <c r="C461" s="16" t="s">
        <v>192</v>
      </c>
      <c r="D461" s="16" t="s">
        <v>193</v>
      </c>
      <c r="E461" s="6" t="n">
        <v>1000</v>
      </c>
      <c r="F461" s="7" t="n">
        <v>5</v>
      </c>
      <c r="G461" s="6" t="n">
        <v>52.36</v>
      </c>
      <c r="H461" s="6" t="n">
        <v>34</v>
      </c>
      <c r="I461" s="6" t="n">
        <v>261.8</v>
      </c>
      <c r="J461" s="6" t="n">
        <v>227.8</v>
      </c>
    </row>
    <row collapsed="false" customFormat="false" customHeight="false" hidden="false" ht="12.1" outlineLevel="0" r="462">
      <c r="A462" s="39" t="n">
        <v>46343</v>
      </c>
      <c r="B462" s="16" t="s">
        <v>887</v>
      </c>
      <c r="C462" s="16" t="s">
        <v>186</v>
      </c>
      <c r="D462" s="16" t="s">
        <v>187</v>
      </c>
      <c r="E462" s="6" t="n">
        <v>1000</v>
      </c>
      <c r="F462" s="7" t="n">
        <v>10</v>
      </c>
      <c r="G462" s="6" t="n">
        <v>28.42</v>
      </c>
      <c r="H462" s="6" t="n">
        <v>37</v>
      </c>
      <c r="I462" s="6" t="n">
        <v>284.2</v>
      </c>
      <c r="J462" s="6" t="n">
        <v>247.2</v>
      </c>
    </row>
    <row collapsed="false" customFormat="false" customHeight="false" hidden="false" ht="12.1" outlineLevel="0" r="463">
      <c r="A463" s="39" t="n">
        <v>46344</v>
      </c>
      <c r="B463" s="16" t="s">
        <v>887</v>
      </c>
      <c r="C463" s="16" t="s">
        <v>189</v>
      </c>
      <c r="D463" s="16" t="s">
        <v>190</v>
      </c>
      <c r="E463" s="6" t="n">
        <v>1000</v>
      </c>
      <c r="F463" s="7" t="n">
        <v>5</v>
      </c>
      <c r="G463" s="6" t="n">
        <v>19.73</v>
      </c>
      <c r="H463" s="6" t="n">
        <v>13</v>
      </c>
      <c r="I463" s="6" t="n">
        <v>98.65</v>
      </c>
      <c r="J463" s="6" t="n">
        <v>85.65</v>
      </c>
    </row>
    <row collapsed="false" customFormat="false" customHeight="false" hidden="false" ht="12.1" outlineLevel="0" r="464">
      <c r="A464" s="39" t="n">
        <v>46346</v>
      </c>
      <c r="B464" s="16" t="s">
        <v>887</v>
      </c>
      <c r="C464" s="16" t="s">
        <v>177</v>
      </c>
      <c r="D464" s="16" t="s">
        <v>178</v>
      </c>
      <c r="E464" s="6" t="n">
        <v>1000</v>
      </c>
      <c r="F464" s="7" t="n">
        <v>17</v>
      </c>
      <c r="G464" s="6" t="n">
        <v>11.26</v>
      </c>
      <c r="H464" s="6" t="n">
        <v>25</v>
      </c>
      <c r="I464" s="6" t="n">
        <v>191.42</v>
      </c>
      <c r="J464" s="6" t="n">
        <v>166.42</v>
      </c>
    </row>
    <row collapsed="false" customFormat="false" customHeight="false" hidden="false" ht="12.1" outlineLevel="0" r="465">
      <c r="A465" s="39" t="n">
        <v>46350</v>
      </c>
      <c r="B465" s="16" t="s">
        <v>887</v>
      </c>
      <c r="C465" s="16" t="s">
        <v>159</v>
      </c>
      <c r="D465" s="16" t="s">
        <v>160</v>
      </c>
      <c r="E465" s="6" t="n">
        <v>1000</v>
      </c>
      <c r="F465" s="7" t="n">
        <v>34</v>
      </c>
      <c r="G465" s="6" t="n">
        <v>47.37</v>
      </c>
      <c r="H465" s="6" t="n">
        <v>209</v>
      </c>
      <c r="I465" s="6" t="n">
        <v>1610.58</v>
      </c>
      <c r="J465" s="6" t="n">
        <v>1401.58</v>
      </c>
    </row>
    <row collapsed="false" customFormat="false" customHeight="false" hidden="false" ht="12.1" outlineLevel="0" r="466">
      <c r="A466" s="39" t="n">
        <v>46350</v>
      </c>
      <c r="B466" s="16" t="s">
        <v>887</v>
      </c>
      <c r="C466" s="16" t="s">
        <v>168</v>
      </c>
      <c r="D466" s="16" t="s">
        <v>169</v>
      </c>
      <c r="E466" s="6" t="n">
        <v>1000</v>
      </c>
      <c r="F466" s="7" t="n">
        <v>20</v>
      </c>
      <c r="G466" s="6" t="n">
        <v>61.08</v>
      </c>
      <c r="H466" s="6" t="n">
        <v>159</v>
      </c>
      <c r="I466" s="6" t="n">
        <v>1221.6</v>
      </c>
      <c r="J466" s="6" t="n">
        <v>1062.6</v>
      </c>
    </row>
    <row collapsed="false" customFormat="false" customHeight="false" hidden="false" ht="12.1" outlineLevel="0" r="467">
      <c r="A467" s="39" t="n">
        <v>46352</v>
      </c>
      <c r="B467" s="16" t="s">
        <v>887</v>
      </c>
      <c r="C467" s="16" t="s">
        <v>240</v>
      </c>
      <c r="D467" s="16" t="s">
        <v>241</v>
      </c>
      <c r="E467" s="6" t="n">
        <v>0</v>
      </c>
      <c r="F467" s="7" t="n">
        <v>-2</v>
      </c>
      <c r="G467" s="6" t="n">
        <v>8.22</v>
      </c>
      <c r="H467" s="6" t="n">
        <v>-2</v>
      </c>
      <c r="I467" s="6" t="n">
        <v>-16.44</v>
      </c>
      <c r="J467" s="6" t="n">
        <v>-14.44</v>
      </c>
    </row>
    <row collapsed="false" customFormat="false" customHeight="false" hidden="false" ht="12.1" outlineLevel="0" r="468">
      <c r="A468" s="39" t="n">
        <v>46356</v>
      </c>
      <c r="B468" s="16" t="s">
        <v>887</v>
      </c>
      <c r="C468" s="16" t="s">
        <v>228</v>
      </c>
      <c r="D468" s="16" t="s">
        <v>229</v>
      </c>
      <c r="E468" s="6" t="n">
        <v>211.35000000000002</v>
      </c>
      <c r="F468" s="7" t="n">
        <v>7</v>
      </c>
      <c r="G468" s="6" t="n">
        <v>0.14</v>
      </c>
      <c r="H468" s="6" t="n">
        <v>0</v>
      </c>
      <c r="I468" s="6" t="n">
        <v>0.98</v>
      </c>
      <c r="J468" s="6" t="n">
        <v>0.98</v>
      </c>
    </row>
    <row collapsed="false" customFormat="false" customHeight="false" hidden="false" ht="12.1" outlineLevel="0" r="469">
      <c r="A469" s="39" t="n">
        <v>46356</v>
      </c>
      <c r="B469" s="16" t="s">
        <v>887</v>
      </c>
      <c r="C469" s="16" t="s">
        <v>204</v>
      </c>
      <c r="D469" s="16" t="s">
        <v>205</v>
      </c>
      <c r="E469" s="6" t="n">
        <v>1000</v>
      </c>
      <c r="F469" s="7" t="n">
        <v>5</v>
      </c>
      <c r="G469" s="6" t="n">
        <v>56.1</v>
      </c>
      <c r="H469" s="6" t="n">
        <v>36</v>
      </c>
      <c r="I469" s="6" t="n">
        <v>280.5</v>
      </c>
      <c r="J469" s="6" t="n">
        <v>244.5</v>
      </c>
    </row>
    <row collapsed="false" customFormat="false" customHeight="false" hidden="false" ht="12.1" outlineLevel="0" r="470">
      <c r="A470" s="39" t="n">
        <v>46357</v>
      </c>
      <c r="B470" s="16" t="s">
        <v>887</v>
      </c>
      <c r="C470" s="16" t="s">
        <v>237</v>
      </c>
      <c r="D470" s="16" t="s">
        <v>238</v>
      </c>
      <c r="E470" s="6" t="n">
        <v>54.489999999999995</v>
      </c>
      <c r="F470" s="7" t="n">
        <v>10</v>
      </c>
      <c r="G470" s="6" t="n">
        <v>0.13</v>
      </c>
      <c r="H470" s="6" t="n">
        <v>0</v>
      </c>
      <c r="I470" s="6" t="n">
        <v>1.3</v>
      </c>
      <c r="J470" s="6" t="n">
        <v>1.3</v>
      </c>
    </row>
    <row collapsed="false" customFormat="false" customHeight="false" hidden="false" ht="12.1" outlineLevel="0" r="471">
      <c r="A471" s="39" t="n">
        <v>46357</v>
      </c>
      <c r="B471" s="16" t="s">
        <v>887</v>
      </c>
      <c r="C471" s="16" t="s">
        <v>134</v>
      </c>
      <c r="D471" s="16" t="s">
        <v>136</v>
      </c>
      <c r="E471" s="6" t="n">
        <v>1000</v>
      </c>
      <c r="F471" s="7" t="n">
        <v>88</v>
      </c>
      <c r="G471" s="6" t="n">
        <v>35.4</v>
      </c>
      <c r="H471" s="6" t="n">
        <v>405</v>
      </c>
      <c r="I471" s="6" t="n">
        <v>3115.2</v>
      </c>
      <c r="J471" s="6" t="n">
        <v>2710.2</v>
      </c>
    </row>
    <row collapsed="false" customFormat="false" customHeight="false" hidden="false" ht="12.1" outlineLevel="0" r="472">
      <c r="A472" s="39" t="n">
        <v>46357</v>
      </c>
      <c r="B472" s="16" t="s">
        <v>887</v>
      </c>
      <c r="C472" s="16" t="s">
        <v>165</v>
      </c>
      <c r="D472" s="16" t="s">
        <v>166</v>
      </c>
      <c r="E472" s="6" t="n">
        <v>1000</v>
      </c>
      <c r="F472" s="7" t="n">
        <v>20</v>
      </c>
      <c r="G472" s="6" t="n">
        <v>61.08</v>
      </c>
      <c r="H472" s="6" t="n">
        <v>159</v>
      </c>
      <c r="I472" s="6" t="n">
        <v>1221.6</v>
      </c>
      <c r="J472" s="6" t="n">
        <v>1062.6</v>
      </c>
    </row>
    <row collapsed="false" customFormat="false" customHeight="false" hidden="false" ht="12.1" outlineLevel="0" r="473">
      <c r="A473" s="39" t="n">
        <v>46357</v>
      </c>
      <c r="B473" s="16" t="s">
        <v>887</v>
      </c>
      <c r="C473" s="16" t="s">
        <v>141</v>
      </c>
      <c r="D473" s="16" t="s">
        <v>142</v>
      </c>
      <c r="E473" s="6" t="n">
        <v>1000</v>
      </c>
      <c r="F473" s="7" t="n">
        <v>53</v>
      </c>
      <c r="G473" s="6" t="n">
        <v>48.87</v>
      </c>
      <c r="H473" s="6" t="n">
        <v>337</v>
      </c>
      <c r="I473" s="6" t="n">
        <v>2590.11</v>
      </c>
      <c r="J473" s="6" t="n">
        <v>2253.11</v>
      </c>
    </row>
    <row collapsed="false" customFormat="false" customHeight="false" hidden="false" ht="12.1" outlineLevel="0" r="474">
      <c r="A474" s="39" t="n">
        <v>46362</v>
      </c>
      <c r="B474" s="16" t="s">
        <v>887</v>
      </c>
      <c r="C474" s="16" t="s">
        <v>231</v>
      </c>
      <c r="D474" s="16" t="s">
        <v>232</v>
      </c>
      <c r="E474" s="6" t="n">
        <v>1000</v>
      </c>
      <c r="F474" s="7" t="n">
        <v>1</v>
      </c>
      <c r="G474" s="6" t="n">
        <v>81.78</v>
      </c>
      <c r="H474" s="6" t="n">
        <v>11</v>
      </c>
      <c r="I474" s="6" t="n">
        <v>81.78</v>
      </c>
      <c r="J474" s="6" t="n">
        <v>70.78</v>
      </c>
    </row>
    <row collapsed="false" customFormat="false" customHeight="false" hidden="false" ht="12.1" outlineLevel="0" r="475">
      <c r="A475" s="39" t="n">
        <v>46364</v>
      </c>
      <c r="B475" s="16" t="s">
        <v>887</v>
      </c>
      <c r="C475" s="16" t="s">
        <v>234</v>
      </c>
      <c r="D475" s="16" t="s">
        <v>235</v>
      </c>
      <c r="E475" s="6" t="n">
        <v>552.59</v>
      </c>
      <c r="F475" s="7" t="n">
        <v>1</v>
      </c>
      <c r="G475" s="6" t="n">
        <v>22.6</v>
      </c>
      <c r="H475" s="6" t="n">
        <v>3</v>
      </c>
      <c r="I475" s="6" t="n">
        <v>22.6</v>
      </c>
      <c r="J475" s="6" t="n">
        <v>19.6</v>
      </c>
    </row>
    <row collapsed="false" customFormat="false" customHeight="false" hidden="false" ht="12.1" outlineLevel="0" r="476">
      <c r="A476" s="39" t="n">
        <v>46366</v>
      </c>
      <c r="B476" s="16" t="s">
        <v>887</v>
      </c>
      <c r="C476" s="16" t="s">
        <v>171</v>
      </c>
      <c r="D476" s="16" t="s">
        <v>172</v>
      </c>
      <c r="E476" s="6" t="n">
        <v>1000</v>
      </c>
      <c r="F476" s="7" t="n">
        <v>20</v>
      </c>
      <c r="G476" s="6" t="n">
        <v>17.83</v>
      </c>
      <c r="H476" s="6" t="n">
        <v>46</v>
      </c>
      <c r="I476" s="6" t="n">
        <v>356.6</v>
      </c>
      <c r="J476" s="6" t="n">
        <v>310.6</v>
      </c>
    </row>
    <row collapsed="false" customFormat="false" customHeight="false" hidden="false" ht="12.1" outlineLevel="0" r="477">
      <c r="A477" s="39" t="n">
        <v>46369</v>
      </c>
      <c r="B477" s="16" t="s">
        <v>887</v>
      </c>
      <c r="C477" s="16" t="s">
        <v>147</v>
      </c>
      <c r="D477" s="16" t="s">
        <v>148</v>
      </c>
      <c r="E477" s="6" t="n">
        <v>1000</v>
      </c>
      <c r="F477" s="7" t="n">
        <v>41</v>
      </c>
      <c r="G477" s="6" t="n">
        <v>5.59</v>
      </c>
      <c r="H477" s="6" t="n">
        <v>30</v>
      </c>
      <c r="I477" s="6" t="n">
        <v>229.19</v>
      </c>
      <c r="J477" s="6" t="n">
        <v>199.19</v>
      </c>
    </row>
    <row collapsed="false" customFormat="false" customHeight="false" hidden="false" ht="12.1" outlineLevel="0" r="478">
      <c r="A478" s="39" t="n">
        <v>46374</v>
      </c>
      <c r="B478" s="16" t="s">
        <v>887</v>
      </c>
      <c r="C478" s="16" t="s">
        <v>189</v>
      </c>
      <c r="D478" s="16" t="s">
        <v>190</v>
      </c>
      <c r="E478" s="6" t="n">
        <v>1000</v>
      </c>
      <c r="F478" s="7" t="n">
        <v>5</v>
      </c>
      <c r="G478" s="6" t="n">
        <v>19.73</v>
      </c>
      <c r="H478" s="6" t="n">
        <v>13</v>
      </c>
      <c r="I478" s="6" t="n">
        <v>98.65</v>
      </c>
      <c r="J478" s="6" t="n">
        <v>85.65</v>
      </c>
    </row>
    <row collapsed="false" customFormat="false" customHeight="false" hidden="false" ht="12.1" outlineLevel="0" r="479">
      <c r="A479" s="39" t="n">
        <v>46376</v>
      </c>
      <c r="B479" s="16" t="s">
        <v>887</v>
      </c>
      <c r="C479" s="16" t="s">
        <v>177</v>
      </c>
      <c r="D479" s="16" t="s">
        <v>178</v>
      </c>
      <c r="E479" s="6" t="n">
        <v>1000</v>
      </c>
      <c r="F479" s="7" t="n">
        <v>17</v>
      </c>
      <c r="G479" s="6" t="n">
        <v>11.26</v>
      </c>
      <c r="H479" s="6" t="n">
        <v>25</v>
      </c>
      <c r="I479" s="6" t="n">
        <v>191.42</v>
      </c>
      <c r="J479" s="6" t="n">
        <v>166.42</v>
      </c>
    </row>
    <row collapsed="false" customFormat="false" customHeight="false" hidden="false" ht="12.1" outlineLevel="0" r="480">
      <c r="A480" s="39" t="n">
        <v>46382</v>
      </c>
      <c r="B480" s="16" t="s">
        <v>887</v>
      </c>
      <c r="C480" s="16" t="s">
        <v>240</v>
      </c>
      <c r="D480" s="16" t="s">
        <v>241</v>
      </c>
      <c r="E480" s="6" t="n">
        <v>0</v>
      </c>
      <c r="F480" s="7" t="n">
        <v>-2</v>
      </c>
      <c r="G480" s="6" t="n">
        <v>8.22</v>
      </c>
      <c r="H480" s="6" t="n">
        <v>-2</v>
      </c>
      <c r="I480" s="6" t="n">
        <v>-16.44</v>
      </c>
      <c r="J480" s="6" t="n">
        <v>-14.44</v>
      </c>
    </row>
    <row collapsed="false" customFormat="false" customHeight="false" hidden="false" ht="12.1" outlineLevel="0" r="481">
      <c r="A481" s="39" t="n">
        <v>46387</v>
      </c>
      <c r="B481" s="16" t="s">
        <v>887</v>
      </c>
      <c r="C481" s="16" t="s">
        <v>228</v>
      </c>
      <c r="D481" s="16" t="s">
        <v>229</v>
      </c>
      <c r="E481" s="6" t="n">
        <v>211.35000000000002</v>
      </c>
      <c r="F481" s="7" t="n">
        <v>7</v>
      </c>
      <c r="G481" s="6" t="n">
        <v>0.03</v>
      </c>
      <c r="H481" s="6" t="n">
        <v>0</v>
      </c>
      <c r="I481" s="6" t="n">
        <v>0.21</v>
      </c>
      <c r="J481" s="6" t="n">
        <v>0.21</v>
      </c>
    </row>
    <row collapsed="false" customFormat="false" customHeight="false" hidden="false" ht="12.1" outlineLevel="0" r="482">
      <c r="A482" s="39" t="n">
        <v>46388</v>
      </c>
      <c r="B482" s="16" t="s">
        <v>887</v>
      </c>
      <c r="C482" s="16" t="s">
        <v>237</v>
      </c>
      <c r="D482" s="16" t="s">
        <v>238</v>
      </c>
      <c r="E482" s="6" t="n">
        <v>54.489999999999995</v>
      </c>
      <c r="F482" s="7" t="n">
        <v>10</v>
      </c>
      <c r="G482" s="6" t="n">
        <v>0.13</v>
      </c>
      <c r="H482" s="6" t="n">
        <v>0</v>
      </c>
      <c r="I482" s="6" t="n">
        <v>1.3</v>
      </c>
      <c r="J482" s="6" t="n">
        <v>1.3</v>
      </c>
    </row>
    <row collapsed="false" customFormat="false" customHeight="false" hidden="false" ht="12.1" outlineLevel="0" r="483">
      <c r="A483" s="39" t="n">
        <v>46399</v>
      </c>
      <c r="B483" s="16" t="s">
        <v>887</v>
      </c>
      <c r="C483" s="16" t="s">
        <v>147</v>
      </c>
      <c r="D483" s="16" t="s">
        <v>148</v>
      </c>
      <c r="E483" s="6" t="n">
        <v>1000</v>
      </c>
      <c r="F483" s="7" t="n">
        <v>41</v>
      </c>
      <c r="G483" s="6" t="n">
        <v>2.79</v>
      </c>
      <c r="H483" s="6" t="n">
        <v>15</v>
      </c>
      <c r="I483" s="6" t="n">
        <v>114.39</v>
      </c>
      <c r="J483" s="6" t="n">
        <v>99.39</v>
      </c>
    </row>
    <row collapsed="false" customFormat="false" customHeight="false" hidden="false" ht="12.1" outlineLevel="0" r="484">
      <c r="A484" s="39" t="n">
        <v>46404</v>
      </c>
      <c r="B484" s="16" t="s">
        <v>887</v>
      </c>
      <c r="C484" s="16" t="s">
        <v>189</v>
      </c>
      <c r="D484" s="16" t="s">
        <v>190</v>
      </c>
      <c r="E484" s="6" t="n">
        <v>1000</v>
      </c>
      <c r="F484" s="7" t="n">
        <v>5</v>
      </c>
      <c r="G484" s="6" t="n">
        <v>19.73</v>
      </c>
      <c r="H484" s="6" t="n">
        <v>13</v>
      </c>
      <c r="I484" s="6" t="n">
        <v>98.65</v>
      </c>
      <c r="J484" s="6" t="n">
        <v>85.65</v>
      </c>
    </row>
    <row collapsed="false" customFormat="false" customHeight="false" hidden="false" ht="12.1" outlineLevel="0" r="485">
      <c r="A485" s="39" t="n">
        <v>46406</v>
      </c>
      <c r="B485" s="16" t="s">
        <v>887</v>
      </c>
      <c r="C485" s="16" t="s">
        <v>177</v>
      </c>
      <c r="D485" s="16" t="s">
        <v>178</v>
      </c>
      <c r="E485" s="6" t="n">
        <v>1000</v>
      </c>
      <c r="F485" s="7" t="n">
        <v>17</v>
      </c>
      <c r="G485" s="6" t="n">
        <v>11.26</v>
      </c>
      <c r="H485" s="6" t="n">
        <v>25</v>
      </c>
      <c r="I485" s="6" t="n">
        <v>191.42</v>
      </c>
      <c r="J485" s="6" t="n">
        <v>166.42</v>
      </c>
    </row>
    <row collapsed="false" customFormat="false" customHeight="false" hidden="false" ht="12.1" outlineLevel="0" r="486">
      <c r="A486" s="39" t="n">
        <v>46407</v>
      </c>
      <c r="B486" s="16" t="s">
        <v>887</v>
      </c>
      <c r="C486" s="16" t="s">
        <v>180</v>
      </c>
      <c r="D486" s="16" t="s">
        <v>181</v>
      </c>
      <c r="E486" s="6" t="n">
        <v>1000</v>
      </c>
      <c r="F486" s="7" t="n">
        <v>12</v>
      </c>
      <c r="G486" s="6" t="n">
        <v>16.83</v>
      </c>
      <c r="H486" s="6" t="n">
        <v>26</v>
      </c>
      <c r="I486" s="6" t="n">
        <v>201.96</v>
      </c>
      <c r="J486" s="6" t="n">
        <v>175.96</v>
      </c>
    </row>
    <row collapsed="false" customFormat="false" customHeight="false" hidden="false" ht="12.1" outlineLevel="0" r="487">
      <c r="A487" s="39" t="n">
        <v>46412</v>
      </c>
      <c r="B487" s="16" t="s">
        <v>887</v>
      </c>
      <c r="C487" s="16" t="s">
        <v>240</v>
      </c>
      <c r="D487" s="16" t="s">
        <v>241</v>
      </c>
      <c r="E487" s="6" t="n">
        <v>0</v>
      </c>
      <c r="F487" s="7" t="n">
        <v>-2</v>
      </c>
      <c r="G487" s="6" t="n">
        <v>8.22</v>
      </c>
      <c r="H487" s="6" t="n">
        <v>-2</v>
      </c>
      <c r="I487" s="6" t="n">
        <v>-16.44</v>
      </c>
      <c r="J487" s="6" t="n">
        <v>-14.44</v>
      </c>
    </row>
    <row collapsed="false" customFormat="false" customHeight="false" hidden="false" ht="12.1" outlineLevel="0" r="488">
      <c r="A488" s="39" t="n">
        <v>46418</v>
      </c>
      <c r="B488" s="16" t="s">
        <v>887</v>
      </c>
      <c r="C488" s="16" t="s">
        <v>228</v>
      </c>
      <c r="D488" s="16" t="s">
        <v>229</v>
      </c>
      <c r="E488" s="6" t="n">
        <v>211.35000000000002</v>
      </c>
      <c r="F488" s="7" t="n">
        <v>7</v>
      </c>
      <c r="G488" s="6" t="n">
        <v>0.03</v>
      </c>
      <c r="H488" s="6" t="n">
        <v>0</v>
      </c>
      <c r="I488" s="6" t="n">
        <v>0.21</v>
      </c>
      <c r="J488" s="6" t="n">
        <v>0.21</v>
      </c>
    </row>
    <row collapsed="false" customFormat="false" customHeight="false" hidden="false" ht="12.1" outlineLevel="0" r="489">
      <c r="A489" s="39" t="n">
        <v>46419</v>
      </c>
      <c r="B489" s="16" t="s">
        <v>887</v>
      </c>
      <c r="C489" s="16" t="s">
        <v>237</v>
      </c>
      <c r="D489" s="16" t="s">
        <v>238</v>
      </c>
      <c r="E489" s="6" t="n">
        <v>54.489999999999995</v>
      </c>
      <c r="F489" s="7" t="n">
        <v>10</v>
      </c>
      <c r="G489" s="6" t="n">
        <v>0.13</v>
      </c>
      <c r="H489" s="6" t="n">
        <v>0</v>
      </c>
      <c r="I489" s="6" t="n">
        <v>1.3</v>
      </c>
      <c r="J489" s="6" t="n">
        <v>1.3</v>
      </c>
    </row>
    <row collapsed="false" customFormat="false" customHeight="false" hidden="false" ht="12.1" outlineLevel="0" r="490">
      <c r="A490" s="39" t="n">
        <v>46427</v>
      </c>
      <c r="B490" s="16" t="s">
        <v>887</v>
      </c>
      <c r="C490" s="16" t="s">
        <v>138</v>
      </c>
      <c r="D490" s="16" t="s">
        <v>139</v>
      </c>
      <c r="E490" s="6" t="n">
        <v>1000</v>
      </c>
      <c r="F490" s="7" t="n">
        <v>80</v>
      </c>
      <c r="G490" s="6" t="n">
        <v>34.9</v>
      </c>
      <c r="H490" s="6" t="n">
        <v>363</v>
      </c>
      <c r="I490" s="6" t="n">
        <v>2792</v>
      </c>
      <c r="J490" s="6" t="n">
        <v>2429</v>
      </c>
    </row>
    <row collapsed="false" customFormat="false" customHeight="false" hidden="false" ht="12.1" outlineLevel="0" r="491">
      <c r="A491" s="39" t="n">
        <v>46428</v>
      </c>
      <c r="B491" s="16" t="s">
        <v>887</v>
      </c>
      <c r="C491" s="16" t="s">
        <v>219</v>
      </c>
      <c r="D491" s="16" t="s">
        <v>220</v>
      </c>
      <c r="E491" s="6" t="n">
        <v>600</v>
      </c>
      <c r="F491" s="7" t="n">
        <v>5</v>
      </c>
      <c r="G491" s="6" t="n">
        <v>19.95</v>
      </c>
      <c r="H491" s="6" t="n">
        <v>13</v>
      </c>
      <c r="I491" s="6" t="n">
        <v>99.75</v>
      </c>
      <c r="J491" s="6" t="n">
        <v>86.75</v>
      </c>
    </row>
    <row collapsed="false" customFormat="false" customHeight="false" hidden="false" ht="12.1" outlineLevel="0" r="492">
      <c r="A492" s="39" t="n">
        <v>46429</v>
      </c>
      <c r="B492" s="16" t="s">
        <v>887</v>
      </c>
      <c r="C492" s="16" t="s">
        <v>147</v>
      </c>
      <c r="D492" s="16" t="s">
        <v>148</v>
      </c>
      <c r="E492" s="6" t="n">
        <v>1000</v>
      </c>
      <c r="F492" s="7" t="n">
        <v>41</v>
      </c>
      <c r="G492" s="6" t="n">
        <v>2.79</v>
      </c>
      <c r="H492" s="6" t="n">
        <v>15</v>
      </c>
      <c r="I492" s="6" t="n">
        <v>114.39</v>
      </c>
      <c r="J492" s="6" t="n">
        <v>99.39</v>
      </c>
    </row>
    <row collapsed="false" customFormat="false" customHeight="false" hidden="false" ht="12.1" outlineLevel="0" r="493">
      <c r="A493" s="39" t="n">
        <v>46434</v>
      </c>
      <c r="B493" s="16" t="s">
        <v>887</v>
      </c>
      <c r="C493" s="16" t="s">
        <v>192</v>
      </c>
      <c r="D493" s="16" t="s">
        <v>193</v>
      </c>
      <c r="E493" s="6" t="n">
        <v>1000</v>
      </c>
      <c r="F493" s="7" t="n">
        <v>5</v>
      </c>
      <c r="G493" s="6" t="n">
        <v>52.36</v>
      </c>
      <c r="H493" s="6" t="n">
        <v>34</v>
      </c>
      <c r="I493" s="6" t="n">
        <v>261.8</v>
      </c>
      <c r="J493" s="6" t="n">
        <v>227.8</v>
      </c>
    </row>
    <row collapsed="false" customFormat="false" customHeight="false" hidden="false" ht="12.1" outlineLevel="0" r="494">
      <c r="A494" s="39" t="n">
        <v>46434</v>
      </c>
      <c r="B494" s="16" t="s">
        <v>887</v>
      </c>
      <c r="C494" s="16" t="s">
        <v>189</v>
      </c>
      <c r="D494" s="16" t="s">
        <v>190</v>
      </c>
      <c r="E494" s="6" t="n">
        <v>1000</v>
      </c>
      <c r="F494" s="7" t="n">
        <v>5</v>
      </c>
      <c r="G494" s="6" t="n">
        <v>19.73</v>
      </c>
      <c r="H494" s="6" t="n">
        <v>13</v>
      </c>
      <c r="I494" s="6" t="n">
        <v>98.65</v>
      </c>
      <c r="J494" s="6" t="n">
        <v>85.65</v>
      </c>
    </row>
    <row collapsed="false" customFormat="false" customHeight="false" hidden="false" ht="12.1" outlineLevel="0" r="495">
      <c r="A495" s="39" t="n">
        <v>46436</v>
      </c>
      <c r="B495" s="16" t="s">
        <v>887</v>
      </c>
      <c r="C495" s="16" t="s">
        <v>177</v>
      </c>
      <c r="D495" s="16" t="s">
        <v>178</v>
      </c>
      <c r="E495" s="6" t="n">
        <v>1000</v>
      </c>
      <c r="F495" s="7" t="n">
        <v>17</v>
      </c>
      <c r="G495" s="6" t="n">
        <v>11.26</v>
      </c>
      <c r="H495" s="6" t="n">
        <v>25</v>
      </c>
      <c r="I495" s="6" t="n">
        <v>191.42</v>
      </c>
      <c r="J495" s="6" t="n">
        <v>166.42</v>
      </c>
    </row>
    <row collapsed="false" customFormat="false" customHeight="false" hidden="false" ht="12.1" outlineLevel="0" r="496">
      <c r="A496" s="39" t="n">
        <v>46442</v>
      </c>
      <c r="B496" s="16" t="s">
        <v>887</v>
      </c>
      <c r="C496" s="16" t="s">
        <v>240</v>
      </c>
      <c r="D496" s="16" t="s">
        <v>241</v>
      </c>
      <c r="E496" s="6" t="n">
        <v>0</v>
      </c>
      <c r="F496" s="7" t="n">
        <v>-2</v>
      </c>
      <c r="G496" s="6" t="n">
        <v>8.22</v>
      </c>
      <c r="H496" s="6" t="n">
        <v>-2</v>
      </c>
      <c r="I496" s="6" t="n">
        <v>-16.44</v>
      </c>
      <c r="J496" s="6" t="n">
        <v>-14.44</v>
      </c>
    </row>
    <row collapsed="false" customFormat="false" customHeight="false" hidden="false" ht="12.1" outlineLevel="0" r="497">
      <c r="A497" s="39" t="n">
        <v>46446</v>
      </c>
      <c r="B497" s="16" t="s">
        <v>887</v>
      </c>
      <c r="C497" s="16" t="s">
        <v>228</v>
      </c>
      <c r="D497" s="16" t="s">
        <v>229</v>
      </c>
      <c r="E497" s="6" t="n">
        <v>211.35000000000002</v>
      </c>
      <c r="F497" s="7" t="n">
        <v>7</v>
      </c>
      <c r="G497" s="6" t="n">
        <v>0.05</v>
      </c>
      <c r="H497" s="6" t="n">
        <v>0</v>
      </c>
      <c r="I497" s="6" t="n">
        <v>0.35</v>
      </c>
      <c r="J497" s="6" t="n">
        <v>0.35</v>
      </c>
    </row>
    <row collapsed="false" customFormat="false" customHeight="false" hidden="false" ht="12.1" outlineLevel="0" r="498">
      <c r="A498" s="39" t="n">
        <v>46448</v>
      </c>
      <c r="B498" s="16" t="s">
        <v>887</v>
      </c>
      <c r="C498" s="16" t="s">
        <v>207</v>
      </c>
      <c r="D498" s="16" t="s">
        <v>208</v>
      </c>
      <c r="E498" s="6" t="n">
        <v>1000</v>
      </c>
      <c r="F498" s="7" t="n">
        <v>5</v>
      </c>
      <c r="G498" s="6" t="n">
        <v>46.12</v>
      </c>
      <c r="H498" s="6" t="n">
        <v>30</v>
      </c>
      <c r="I498" s="6" t="n">
        <v>230.6</v>
      </c>
      <c r="J498" s="6" t="n">
        <v>200.6</v>
      </c>
    </row>
    <row collapsed="false" customFormat="false" customHeight="false" hidden="false" ht="12.1" outlineLevel="0" r="499">
      <c r="A499" s="39" t="n">
        <v>46455</v>
      </c>
      <c r="B499" s="16" t="s">
        <v>887</v>
      </c>
      <c r="C499" s="16" t="s">
        <v>234</v>
      </c>
      <c r="D499" s="16" t="s">
        <v>235</v>
      </c>
      <c r="E499" s="6" t="n">
        <v>552.59</v>
      </c>
      <c r="F499" s="7" t="n">
        <v>1</v>
      </c>
      <c r="G499" s="6" t="n">
        <v>26.5</v>
      </c>
      <c r="H499" s="6" t="n">
        <v>3</v>
      </c>
      <c r="I499" s="6" t="n">
        <v>26.5</v>
      </c>
      <c r="J499" s="6" t="n">
        <v>23.5</v>
      </c>
    </row>
    <row collapsed="false" customFormat="false" customHeight="false" hidden="false" ht="12.1" outlineLevel="0" r="500">
      <c r="A500" s="39" t="n">
        <v>46457</v>
      </c>
      <c r="B500" s="16" t="s">
        <v>887</v>
      </c>
      <c r="C500" s="16" t="s">
        <v>171</v>
      </c>
      <c r="D500" s="16" t="s">
        <v>172</v>
      </c>
      <c r="E500" s="6" t="n">
        <v>1000</v>
      </c>
      <c r="F500" s="7" t="n">
        <v>20</v>
      </c>
      <c r="G500" s="6" t="n">
        <v>17.83</v>
      </c>
      <c r="H500" s="6" t="n">
        <v>46</v>
      </c>
      <c r="I500" s="6" t="n">
        <v>356.6</v>
      </c>
      <c r="J500" s="6" t="n">
        <v>310.6</v>
      </c>
    </row>
    <row collapsed="false" customFormat="false" customHeight="false" hidden="false" ht="12.1" outlineLevel="0" r="501">
      <c r="A501" s="39" t="n">
        <v>46459</v>
      </c>
      <c r="B501" s="16" t="s">
        <v>887</v>
      </c>
      <c r="C501" s="16" t="s">
        <v>147</v>
      </c>
      <c r="D501" s="16" t="s">
        <v>148</v>
      </c>
      <c r="E501" s="6" t="n">
        <v>1000</v>
      </c>
      <c r="F501" s="7" t="n">
        <v>41</v>
      </c>
      <c r="G501" s="6" t="n">
        <v>2.79</v>
      </c>
      <c r="H501" s="6" t="n">
        <v>15</v>
      </c>
      <c r="I501" s="6" t="n">
        <v>114.39</v>
      </c>
      <c r="J501" s="6" t="n">
        <v>99.39</v>
      </c>
    </row>
    <row collapsed="false" customFormat="false" customHeight="false" hidden="false" ht="12.1" outlineLevel="0" r="502">
      <c r="A502" s="39" t="n">
        <v>46462</v>
      </c>
      <c r="B502" s="16" t="s">
        <v>887</v>
      </c>
      <c r="C502" s="16" t="s">
        <v>156</v>
      </c>
      <c r="D502" s="16" t="s">
        <v>157</v>
      </c>
      <c r="E502" s="6" t="n">
        <v>1000</v>
      </c>
      <c r="F502" s="7" t="n">
        <v>34</v>
      </c>
      <c r="G502" s="6" t="n">
        <v>33.41</v>
      </c>
      <c r="H502" s="6" t="n">
        <v>148</v>
      </c>
      <c r="I502" s="6" t="n">
        <v>1135.94</v>
      </c>
      <c r="J502" s="6" t="n">
        <v>987.94</v>
      </c>
    </row>
    <row collapsed="false" customFormat="false" customHeight="false" hidden="false" ht="12.1" outlineLevel="0" r="503">
      <c r="A503" s="39" t="n">
        <v>46464</v>
      </c>
      <c r="B503" s="16" t="s">
        <v>887</v>
      </c>
      <c r="C503" s="16" t="s">
        <v>189</v>
      </c>
      <c r="D503" s="16" t="s">
        <v>190</v>
      </c>
      <c r="E503" s="6" t="n">
        <v>1000</v>
      </c>
      <c r="F503" s="7" t="n">
        <v>5</v>
      </c>
      <c r="G503" s="6" t="n">
        <v>19.73</v>
      </c>
      <c r="H503" s="6" t="n">
        <v>13</v>
      </c>
      <c r="I503" s="6" t="n">
        <v>98.65</v>
      </c>
      <c r="J503" s="6" t="n">
        <v>85.65</v>
      </c>
    </row>
    <row collapsed="false" customFormat="false" customHeight="false" hidden="false" ht="12.1" outlineLevel="0" r="504">
      <c r="A504" s="39" t="n">
        <v>46466</v>
      </c>
      <c r="B504" s="16" t="s">
        <v>887</v>
      </c>
      <c r="C504" s="16" t="s">
        <v>177</v>
      </c>
      <c r="D504" s="16" t="s">
        <v>178</v>
      </c>
      <c r="E504" s="6" t="n">
        <v>1000</v>
      </c>
      <c r="F504" s="7" t="n">
        <v>17</v>
      </c>
      <c r="G504" s="6" t="n">
        <v>11.26</v>
      </c>
      <c r="H504" s="6" t="n">
        <v>25</v>
      </c>
      <c r="I504" s="6" t="n">
        <v>191.42</v>
      </c>
      <c r="J504" s="6" t="n">
        <v>166.42</v>
      </c>
    </row>
    <row collapsed="false" customFormat="false" customHeight="false" hidden="false" ht="12.1" outlineLevel="0" r="505">
      <c r="A505" s="39" t="n">
        <v>46469</v>
      </c>
      <c r="B505" s="16" t="s">
        <v>887</v>
      </c>
      <c r="C505" s="16" t="s">
        <v>144</v>
      </c>
      <c r="D505" s="16" t="s">
        <v>145</v>
      </c>
      <c r="E505" s="6" t="n">
        <v>1000</v>
      </c>
      <c r="F505" s="7" t="n">
        <v>40</v>
      </c>
      <c r="G505" s="6" t="n">
        <v>56.1</v>
      </c>
      <c r="H505" s="6" t="n">
        <v>292</v>
      </c>
      <c r="I505" s="6" t="n">
        <v>2244</v>
      </c>
      <c r="J505" s="6" t="n">
        <v>1952</v>
      </c>
    </row>
    <row collapsed="false" customFormat="false" customHeight="false" hidden="false" ht="12.1" outlineLevel="0" r="506">
      <c r="A506" s="39" t="n">
        <v>46469</v>
      </c>
      <c r="B506" s="16" t="s">
        <v>887</v>
      </c>
      <c r="C506" s="16" t="s">
        <v>153</v>
      </c>
      <c r="D506" s="16" t="s">
        <v>154</v>
      </c>
      <c r="E506" s="6" t="n">
        <v>1000</v>
      </c>
      <c r="F506" s="7" t="n">
        <v>34</v>
      </c>
      <c r="G506" s="6" t="n">
        <v>59.84</v>
      </c>
      <c r="H506" s="6" t="n">
        <v>264</v>
      </c>
      <c r="I506" s="6" t="n">
        <v>2034.56</v>
      </c>
      <c r="J506" s="6" t="n">
        <v>1770.56</v>
      </c>
    </row>
    <row collapsed="false" customFormat="false" customHeight="false" hidden="false" ht="12.1" outlineLevel="0" r="507">
      <c r="A507" s="39" t="n">
        <v>46472</v>
      </c>
      <c r="B507" s="16" t="s">
        <v>887</v>
      </c>
      <c r="C507" s="16" t="s">
        <v>240</v>
      </c>
      <c r="D507" s="16" t="s">
        <v>241</v>
      </c>
      <c r="E507" s="6" t="n">
        <v>0</v>
      </c>
      <c r="F507" s="7" t="n">
        <v>-2</v>
      </c>
      <c r="G507" s="6" t="n">
        <v>8.22</v>
      </c>
      <c r="H507" s="6" t="n">
        <v>-2</v>
      </c>
      <c r="I507" s="6" t="n">
        <v>-16.44</v>
      </c>
      <c r="J507" s="6" t="n">
        <v>-14.44</v>
      </c>
    </row>
    <row collapsed="false" customFormat="false" customHeight="false" hidden="false" ht="12.1" outlineLevel="0" r="508">
      <c r="A508" s="39" t="n">
        <v>46476</v>
      </c>
      <c r="B508" s="16" t="s">
        <v>887</v>
      </c>
      <c r="C508" s="16" t="s">
        <v>150</v>
      </c>
      <c r="D508" s="16" t="s">
        <v>151</v>
      </c>
      <c r="E508" s="6" t="n">
        <v>1000</v>
      </c>
      <c r="F508" s="7" t="n">
        <v>45</v>
      </c>
      <c r="G508" s="6" t="n">
        <v>38.39</v>
      </c>
      <c r="H508" s="6" t="n">
        <v>225</v>
      </c>
      <c r="I508" s="6" t="n">
        <v>1727.55</v>
      </c>
      <c r="J508" s="6" t="n">
        <v>1502.55</v>
      </c>
    </row>
    <row collapsed="false" customFormat="false" customHeight="false" hidden="false" ht="12.1" outlineLevel="0" r="509">
      <c r="A509" s="39" t="n">
        <v>46494</v>
      </c>
      <c r="B509" s="16" t="s">
        <v>887</v>
      </c>
      <c r="C509" s="16" t="s">
        <v>189</v>
      </c>
      <c r="D509" s="16" t="s">
        <v>190</v>
      </c>
      <c r="E509" s="6" t="n">
        <v>1000</v>
      </c>
      <c r="F509" s="7" t="n">
        <v>5</v>
      </c>
      <c r="G509" s="6" t="n">
        <v>19.73</v>
      </c>
      <c r="H509" s="6" t="n">
        <v>13</v>
      </c>
      <c r="I509" s="6" t="n">
        <v>98.65</v>
      </c>
      <c r="J509" s="6" t="n">
        <v>85.65</v>
      </c>
    </row>
    <row collapsed="false" customFormat="false" customHeight="false" hidden="false" ht="12.1" outlineLevel="0" r="510">
      <c r="A510" s="39" t="n">
        <v>46496</v>
      </c>
      <c r="B510" s="16" t="s">
        <v>887</v>
      </c>
      <c r="C510" s="16" t="s">
        <v>177</v>
      </c>
      <c r="D510" s="16" t="s">
        <v>178</v>
      </c>
      <c r="E510" s="6" t="n">
        <v>1000</v>
      </c>
      <c r="F510" s="7" t="n">
        <v>17</v>
      </c>
      <c r="G510" s="6" t="n">
        <v>11.26</v>
      </c>
      <c r="H510" s="6" t="n">
        <v>25</v>
      </c>
      <c r="I510" s="6" t="n">
        <v>191.42</v>
      </c>
      <c r="J510" s="6" t="n">
        <v>166.42</v>
      </c>
    </row>
    <row collapsed="false" customFormat="false" customHeight="false" hidden="false" ht="12.1" outlineLevel="0" r="511">
      <c r="A511" s="39" t="n">
        <v>46497</v>
      </c>
      <c r="B511" s="16" t="s">
        <v>887</v>
      </c>
      <c r="C511" s="16" t="s">
        <v>183</v>
      </c>
      <c r="D511" s="16" t="s">
        <v>184</v>
      </c>
      <c r="E511" s="6" t="n">
        <v>1000</v>
      </c>
      <c r="F511" s="7" t="n">
        <v>9</v>
      </c>
      <c r="G511" s="6" t="n">
        <v>64.82</v>
      </c>
      <c r="H511" s="6" t="n">
        <v>76</v>
      </c>
      <c r="I511" s="6" t="n">
        <v>583.38</v>
      </c>
      <c r="J511" s="6" t="n">
        <v>507.38</v>
      </c>
    </row>
    <row collapsed="false" customFormat="false" customHeight="false" hidden="false" ht="12.1" outlineLevel="0" r="512">
      <c r="A512" s="39" t="n">
        <v>46498</v>
      </c>
      <c r="B512" s="16" t="s">
        <v>887</v>
      </c>
      <c r="C512" s="16" t="s">
        <v>180</v>
      </c>
      <c r="D512" s="16" t="s">
        <v>181</v>
      </c>
      <c r="E512" s="6" t="n">
        <v>1000</v>
      </c>
      <c r="F512" s="7" t="n">
        <v>12</v>
      </c>
      <c r="G512" s="6" t="n">
        <v>16.83</v>
      </c>
      <c r="H512" s="6" t="n">
        <v>26</v>
      </c>
      <c r="I512" s="6" t="n">
        <v>201.96</v>
      </c>
      <c r="J512" s="6" t="n">
        <v>175.96</v>
      </c>
    </row>
    <row collapsed="false" customFormat="false" customHeight="false" hidden="false" ht="12.1" outlineLevel="0" r="513">
      <c r="A513" s="39" t="n">
        <v>46502</v>
      </c>
      <c r="B513" s="16" t="s">
        <v>887</v>
      </c>
      <c r="C513" s="16" t="s">
        <v>240</v>
      </c>
      <c r="D513" s="16" t="s">
        <v>241</v>
      </c>
      <c r="E513" s="6" t="n">
        <v>0</v>
      </c>
      <c r="F513" s="7" t="n">
        <v>-2</v>
      </c>
      <c r="G513" s="6" t="n">
        <v>8.22</v>
      </c>
      <c r="H513" s="6" t="n">
        <v>-2</v>
      </c>
      <c r="I513" s="6" t="n">
        <v>-16.44</v>
      </c>
      <c r="J513" s="6" t="n">
        <v>-14.44</v>
      </c>
    </row>
    <row collapsed="false" customFormat="false" customHeight="false" hidden="false" ht="12.1" outlineLevel="0" r="514">
      <c r="A514" s="39" t="n">
        <v>46519</v>
      </c>
      <c r="B514" s="16" t="s">
        <v>887</v>
      </c>
      <c r="C514" s="16" t="s">
        <v>219</v>
      </c>
      <c r="D514" s="16" t="s">
        <v>220</v>
      </c>
      <c r="E514" s="6" t="n">
        <v>600</v>
      </c>
      <c r="F514" s="7" t="n">
        <v>5</v>
      </c>
      <c r="G514" s="6" t="n">
        <v>15.96</v>
      </c>
      <c r="H514" s="6" t="n">
        <v>10</v>
      </c>
      <c r="I514" s="6" t="n">
        <v>79.8</v>
      </c>
      <c r="J514" s="6" t="n">
        <v>69.8</v>
      </c>
    </row>
    <row collapsed="false" customFormat="false" customHeight="false" hidden="false" ht="12.1" outlineLevel="0" r="515">
      <c r="A515" s="39" t="n">
        <v>46524</v>
      </c>
      <c r="B515" s="16" t="s">
        <v>887</v>
      </c>
      <c r="C515" s="16" t="s">
        <v>189</v>
      </c>
      <c r="D515" s="16" t="s">
        <v>190</v>
      </c>
      <c r="E515" s="6" t="n">
        <v>1000</v>
      </c>
      <c r="F515" s="7" t="n">
        <v>5</v>
      </c>
      <c r="G515" s="6" t="n">
        <v>19.73</v>
      </c>
      <c r="H515" s="6" t="n">
        <v>13</v>
      </c>
      <c r="I515" s="6" t="n">
        <v>98.65</v>
      </c>
      <c r="J515" s="6" t="n">
        <v>85.65</v>
      </c>
    </row>
    <row collapsed="false" customFormat="false" customHeight="false" hidden="false" ht="12.1" outlineLevel="0" r="516">
      <c r="A516" s="39" t="n">
        <v>46525</v>
      </c>
      <c r="B516" s="16" t="s">
        <v>887</v>
      </c>
      <c r="C516" s="16" t="s">
        <v>186</v>
      </c>
      <c r="D516" s="16" t="s">
        <v>187</v>
      </c>
      <c r="E516" s="6" t="n">
        <v>1000</v>
      </c>
      <c r="F516" s="7" t="n">
        <v>10</v>
      </c>
      <c r="G516" s="6" t="n">
        <v>28.42</v>
      </c>
      <c r="H516" s="6" t="n">
        <v>37</v>
      </c>
      <c r="I516" s="6" t="n">
        <v>284.2</v>
      </c>
      <c r="J516" s="6" t="n">
        <v>247.2</v>
      </c>
    </row>
    <row collapsed="false" customFormat="false" customHeight="false" hidden="false" ht="12.1" outlineLevel="0" r="517">
      <c r="A517" s="39" t="n">
        <v>46525</v>
      </c>
      <c r="B517" s="16" t="s">
        <v>887</v>
      </c>
      <c r="C517" s="16" t="s">
        <v>192</v>
      </c>
      <c r="D517" s="16" t="s">
        <v>193</v>
      </c>
      <c r="E517" s="6" t="n">
        <v>1000</v>
      </c>
      <c r="F517" s="7" t="n">
        <v>5</v>
      </c>
      <c r="G517" s="6" t="n">
        <v>52.36</v>
      </c>
      <c r="H517" s="6" t="n">
        <v>34</v>
      </c>
      <c r="I517" s="6" t="n">
        <v>261.8</v>
      </c>
      <c r="J517" s="6" t="n">
        <v>227.8</v>
      </c>
    </row>
    <row collapsed="false" customFormat="false" customHeight="false" hidden="false" ht="12.1" outlineLevel="0" r="518">
      <c r="A518" s="39" t="n">
        <v>46526</v>
      </c>
      <c r="B518" s="16" t="s">
        <v>887</v>
      </c>
      <c r="C518" s="16" t="s">
        <v>177</v>
      </c>
      <c r="D518" s="16" t="s">
        <v>178</v>
      </c>
      <c r="E518" s="6" t="n">
        <v>1000</v>
      </c>
      <c r="F518" s="7" t="n">
        <v>17</v>
      </c>
      <c r="G518" s="6" t="n">
        <v>11.26</v>
      </c>
      <c r="H518" s="6" t="n">
        <v>25</v>
      </c>
      <c r="I518" s="6" t="n">
        <v>191.42</v>
      </c>
      <c r="J518" s="6" t="n">
        <v>166.42</v>
      </c>
    </row>
    <row collapsed="false" customFormat="false" customHeight="false" hidden="false" ht="12.1" outlineLevel="0" r="519">
      <c r="A519" s="39" t="n">
        <v>46532</v>
      </c>
      <c r="B519" s="16" t="s">
        <v>887</v>
      </c>
      <c r="C519" s="16" t="s">
        <v>159</v>
      </c>
      <c r="D519" s="16" t="s">
        <v>160</v>
      </c>
      <c r="E519" s="6" t="n">
        <v>1000</v>
      </c>
      <c r="F519" s="7" t="n">
        <v>34</v>
      </c>
      <c r="G519" s="6" t="n">
        <v>47.37</v>
      </c>
      <c r="H519" s="6" t="n">
        <v>209</v>
      </c>
      <c r="I519" s="6" t="n">
        <v>1610.58</v>
      </c>
      <c r="J519" s="6" t="n">
        <v>1401.58</v>
      </c>
    </row>
    <row collapsed="false" customFormat="false" customHeight="false" hidden="false" ht="12.1" outlineLevel="0" r="520">
      <c r="A520" s="39" t="n">
        <v>46532</v>
      </c>
      <c r="B520" s="16" t="s">
        <v>887</v>
      </c>
      <c r="C520" s="16" t="s">
        <v>168</v>
      </c>
      <c r="D520" s="16" t="s">
        <v>169</v>
      </c>
      <c r="E520" s="6" t="n">
        <v>1000</v>
      </c>
      <c r="F520" s="7" t="n">
        <v>20</v>
      </c>
      <c r="G520" s="6" t="n">
        <v>61.08</v>
      </c>
      <c r="H520" s="6" t="n">
        <v>159</v>
      </c>
      <c r="I520" s="6" t="n">
        <v>1221.6</v>
      </c>
      <c r="J520" s="6" t="n">
        <v>1062.6</v>
      </c>
    </row>
    <row collapsed="false" customFormat="false" customHeight="false" hidden="false" ht="12.1" outlineLevel="0" r="521">
      <c r="A521" s="39" t="n">
        <v>46532</v>
      </c>
      <c r="B521" s="16" t="s">
        <v>887</v>
      </c>
      <c r="C521" s="16" t="s">
        <v>240</v>
      </c>
      <c r="D521" s="16" t="s">
        <v>241</v>
      </c>
      <c r="E521" s="6" t="n">
        <v>0</v>
      </c>
      <c r="F521" s="7" t="n">
        <v>-2</v>
      </c>
      <c r="G521" s="6" t="n">
        <v>8.22</v>
      </c>
      <c r="H521" s="6" t="n">
        <v>-2</v>
      </c>
      <c r="I521" s="6" t="n">
        <v>-16.44</v>
      </c>
      <c r="J521" s="6" t="n">
        <v>-14.44</v>
      </c>
    </row>
    <row collapsed="false" customFormat="false" customHeight="false" hidden="false" ht="12.1" outlineLevel="0" r="522">
      <c r="A522" s="39" t="n">
        <v>46538</v>
      </c>
      <c r="B522" s="16" t="s">
        <v>887</v>
      </c>
      <c r="C522" s="16" t="s">
        <v>204</v>
      </c>
      <c r="D522" s="16" t="s">
        <v>205</v>
      </c>
      <c r="E522" s="6" t="n">
        <v>1000</v>
      </c>
      <c r="F522" s="7" t="n">
        <v>5</v>
      </c>
      <c r="G522" s="6" t="n">
        <v>56.1</v>
      </c>
      <c r="H522" s="6" t="n">
        <v>36</v>
      </c>
      <c r="I522" s="6" t="n">
        <v>280.5</v>
      </c>
      <c r="J522" s="6" t="n">
        <v>244.5</v>
      </c>
    </row>
    <row collapsed="false" customFormat="false" customHeight="false" hidden="false" ht="12.1" outlineLevel="0" r="523">
      <c r="A523" s="39" t="n">
        <v>46539</v>
      </c>
      <c r="B523" s="16" t="s">
        <v>887</v>
      </c>
      <c r="C523" s="16" t="s">
        <v>141</v>
      </c>
      <c r="D523" s="16" t="s">
        <v>142</v>
      </c>
      <c r="E523" s="6" t="n">
        <v>1000</v>
      </c>
      <c r="F523" s="7" t="n">
        <v>53</v>
      </c>
      <c r="G523" s="6" t="n">
        <v>48.87</v>
      </c>
      <c r="H523" s="6" t="n">
        <v>337</v>
      </c>
      <c r="I523" s="6" t="n">
        <v>2590.11</v>
      </c>
      <c r="J523" s="6" t="n">
        <v>2253.11</v>
      </c>
    </row>
    <row collapsed="false" customFormat="false" customHeight="false" hidden="false" ht="12.1" outlineLevel="0" r="524">
      <c r="A524" s="39" t="n">
        <v>46539</v>
      </c>
      <c r="B524" s="16" t="s">
        <v>887</v>
      </c>
      <c r="C524" s="16" t="s">
        <v>134</v>
      </c>
      <c r="D524" s="16" t="s">
        <v>136</v>
      </c>
      <c r="E524" s="6" t="n">
        <v>1000</v>
      </c>
      <c r="F524" s="7" t="n">
        <v>88</v>
      </c>
      <c r="G524" s="6" t="n">
        <v>35.4</v>
      </c>
      <c r="H524" s="6" t="n">
        <v>405</v>
      </c>
      <c r="I524" s="6" t="n">
        <v>3115.2</v>
      </c>
      <c r="J524" s="6" t="n">
        <v>2710.2</v>
      </c>
    </row>
    <row collapsed="false" customFormat="false" customHeight="false" hidden="false" ht="12.1" outlineLevel="0" r="525">
      <c r="A525" s="39" t="n">
        <v>46539</v>
      </c>
      <c r="B525" s="16" t="s">
        <v>887</v>
      </c>
      <c r="C525" s="16" t="s">
        <v>165</v>
      </c>
      <c r="D525" s="16" t="s">
        <v>166</v>
      </c>
      <c r="E525" s="6" t="n">
        <v>1000</v>
      </c>
      <c r="F525" s="7" t="n">
        <v>20</v>
      </c>
      <c r="G525" s="6" t="n">
        <v>61.08</v>
      </c>
      <c r="H525" s="6" t="n">
        <v>159</v>
      </c>
      <c r="I525" s="6" t="n">
        <v>1221.6</v>
      </c>
      <c r="J525" s="6" t="n">
        <v>1062.6</v>
      </c>
    </row>
    <row collapsed="false" customFormat="false" customHeight="false" hidden="false" ht="12.1" outlineLevel="0" r="526">
      <c r="A526" s="39" t="n">
        <v>46544</v>
      </c>
      <c r="B526" s="16" t="s">
        <v>887</v>
      </c>
      <c r="C526" s="16" t="s">
        <v>231</v>
      </c>
      <c r="D526" s="16" t="s">
        <v>232</v>
      </c>
      <c r="E526" s="6" t="n">
        <v>1000</v>
      </c>
      <c r="F526" s="7" t="n">
        <v>1</v>
      </c>
      <c r="G526" s="6" t="n">
        <v>81.78</v>
      </c>
      <c r="H526" s="6" t="n">
        <v>11</v>
      </c>
      <c r="I526" s="6" t="n">
        <v>81.78</v>
      </c>
      <c r="J526" s="6" t="n">
        <v>70.78</v>
      </c>
    </row>
    <row collapsed="false" customFormat="false" customHeight="false" hidden="false" ht="12.1" outlineLevel="0" r="527">
      <c r="A527" s="39" t="n">
        <v>46546</v>
      </c>
      <c r="B527" s="16" t="s">
        <v>887</v>
      </c>
      <c r="C527" s="16" t="s">
        <v>234</v>
      </c>
      <c r="D527" s="16" t="s">
        <v>235</v>
      </c>
      <c r="E527" s="6" t="n">
        <v>552.59</v>
      </c>
      <c r="F527" s="7" t="n">
        <v>1</v>
      </c>
      <c r="G527" s="6" t="n">
        <v>25.28</v>
      </c>
      <c r="H527" s="6" t="n">
        <v>3</v>
      </c>
      <c r="I527" s="6" t="n">
        <v>25.28</v>
      </c>
      <c r="J527" s="6" t="n">
        <v>22.28</v>
      </c>
    </row>
    <row collapsed="false" customFormat="false" customHeight="false" hidden="false" ht="12.1" outlineLevel="0" r="528">
      <c r="A528" s="39" t="n">
        <v>46548</v>
      </c>
      <c r="B528" s="16" t="s">
        <v>887</v>
      </c>
      <c r="C528" s="16" t="s">
        <v>171</v>
      </c>
      <c r="D528" s="16" t="s">
        <v>172</v>
      </c>
      <c r="E528" s="6" t="n">
        <v>1000</v>
      </c>
      <c r="F528" s="7" t="n">
        <v>20</v>
      </c>
      <c r="G528" s="6" t="n">
        <v>17.83</v>
      </c>
      <c r="H528" s="6" t="n">
        <v>46</v>
      </c>
      <c r="I528" s="6" t="n">
        <v>356.6</v>
      </c>
      <c r="J528" s="6" t="n">
        <v>310.6</v>
      </c>
    </row>
    <row collapsed="false" customFormat="false" customHeight="false" hidden="false" ht="12.1" outlineLevel="0" r="529">
      <c r="A529" s="39" t="n">
        <v>46554</v>
      </c>
      <c r="B529" s="16" t="s">
        <v>887</v>
      </c>
      <c r="C529" s="16" t="s">
        <v>189</v>
      </c>
      <c r="D529" s="16" t="s">
        <v>190</v>
      </c>
      <c r="E529" s="6" t="n">
        <v>1000</v>
      </c>
      <c r="F529" s="7" t="n">
        <v>5</v>
      </c>
      <c r="G529" s="6" t="n">
        <v>19.73</v>
      </c>
      <c r="H529" s="6" t="n">
        <v>13</v>
      </c>
      <c r="I529" s="6" t="n">
        <v>98.65</v>
      </c>
      <c r="J529" s="6" t="n">
        <v>85.65</v>
      </c>
    </row>
    <row collapsed="false" customFormat="false" customHeight="false" hidden="false" ht="12.1" outlineLevel="0" r="530">
      <c r="A530" s="39" t="n">
        <v>46556</v>
      </c>
      <c r="B530" s="16" t="s">
        <v>887</v>
      </c>
      <c r="C530" s="16" t="s">
        <v>177</v>
      </c>
      <c r="D530" s="16" t="s">
        <v>178</v>
      </c>
      <c r="E530" s="6" t="n">
        <v>1000</v>
      </c>
      <c r="F530" s="7" t="n">
        <v>17</v>
      </c>
      <c r="G530" s="6" t="n">
        <v>11.26</v>
      </c>
      <c r="H530" s="6" t="n">
        <v>25</v>
      </c>
      <c r="I530" s="6" t="n">
        <v>191.42</v>
      </c>
      <c r="J530" s="6" t="n">
        <v>166.42</v>
      </c>
    </row>
    <row collapsed="false" customFormat="false" customHeight="false" hidden="false" ht="12.1" outlineLevel="0" r="531">
      <c r="A531" s="39" t="n">
        <v>46562</v>
      </c>
      <c r="B531" s="16" t="s">
        <v>887</v>
      </c>
      <c r="C531" s="16" t="s">
        <v>240</v>
      </c>
      <c r="D531" s="16" t="s">
        <v>241</v>
      </c>
      <c r="E531" s="6" t="n">
        <v>0</v>
      </c>
      <c r="F531" s="7" t="n">
        <v>-2</v>
      </c>
      <c r="G531" s="6" t="n">
        <v>8.22</v>
      </c>
      <c r="H531" s="6" t="n">
        <v>-2</v>
      </c>
      <c r="I531" s="6" t="n">
        <v>-16.44</v>
      </c>
      <c r="J531" s="6" t="n">
        <v>-14.44</v>
      </c>
    </row>
    <row collapsed="false" customFormat="false" customHeight="false" hidden="false" ht="12.1" outlineLevel="0" r="532">
      <c r="A532" s="39" t="n">
        <v>46584</v>
      </c>
      <c r="B532" s="16" t="s">
        <v>887</v>
      </c>
      <c r="C532" s="16" t="s">
        <v>189</v>
      </c>
      <c r="D532" s="16" t="s">
        <v>190</v>
      </c>
      <c r="E532" s="6" t="n">
        <v>1000</v>
      </c>
      <c r="F532" s="7" t="n">
        <v>5</v>
      </c>
      <c r="G532" s="6" t="n">
        <v>19.73</v>
      </c>
      <c r="H532" s="6" t="n">
        <v>13</v>
      </c>
      <c r="I532" s="6" t="n">
        <v>98.65</v>
      </c>
      <c r="J532" s="6" t="n">
        <v>85.65</v>
      </c>
    </row>
    <row collapsed="false" customFormat="false" customHeight="false" hidden="false" ht="12.1" outlineLevel="0" r="533">
      <c r="A533" s="39" t="n">
        <v>46586</v>
      </c>
      <c r="B533" s="16" t="s">
        <v>887</v>
      </c>
      <c r="C533" s="16" t="s">
        <v>177</v>
      </c>
      <c r="D533" s="16" t="s">
        <v>178</v>
      </c>
      <c r="E533" s="6" t="n">
        <v>1000</v>
      </c>
      <c r="F533" s="7" t="n">
        <v>17</v>
      </c>
      <c r="G533" s="6" t="n">
        <v>11.26</v>
      </c>
      <c r="H533" s="6" t="n">
        <v>25</v>
      </c>
      <c r="I533" s="6" t="n">
        <v>191.42</v>
      </c>
      <c r="J533" s="6" t="n">
        <v>166.42</v>
      </c>
    </row>
    <row collapsed="false" customFormat="false" customHeight="false" hidden="false" ht="12.1" outlineLevel="0" r="534">
      <c r="A534" s="39" t="n">
        <v>46589</v>
      </c>
      <c r="B534" s="16" t="s">
        <v>887</v>
      </c>
      <c r="C534" s="16" t="s">
        <v>180</v>
      </c>
      <c r="D534" s="16" t="s">
        <v>181</v>
      </c>
      <c r="E534" s="6" t="n">
        <v>1000</v>
      </c>
      <c r="F534" s="7" t="n">
        <v>12</v>
      </c>
      <c r="G534" s="6" t="n">
        <v>16.83</v>
      </c>
      <c r="H534" s="6" t="n">
        <v>26</v>
      </c>
      <c r="I534" s="6" t="n">
        <v>201.96</v>
      </c>
      <c r="J534" s="6" t="n">
        <v>175.96</v>
      </c>
    </row>
    <row collapsed="false" customFormat="false" customHeight="false" hidden="false" ht="12.1" outlineLevel="0" r="535">
      <c r="A535" s="39" t="n">
        <v>46592</v>
      </c>
      <c r="B535" s="16" t="s">
        <v>887</v>
      </c>
      <c r="C535" s="16" t="s">
        <v>240</v>
      </c>
      <c r="D535" s="16" t="s">
        <v>241</v>
      </c>
      <c r="E535" s="6" t="n">
        <v>0</v>
      </c>
      <c r="F535" s="7" t="n">
        <v>-2</v>
      </c>
      <c r="G535" s="6" t="n">
        <v>8.22</v>
      </c>
      <c r="H535" s="6" t="n">
        <v>-2</v>
      </c>
      <c r="I535" s="6" t="n">
        <v>-16.44</v>
      </c>
      <c r="J535" s="6" t="n">
        <v>-14.44</v>
      </c>
    </row>
    <row collapsed="false" customFormat="false" customHeight="false" hidden="false" ht="12.1" outlineLevel="0" r="536">
      <c r="A536" s="39" t="n">
        <v>46609</v>
      </c>
      <c r="B536" s="16" t="s">
        <v>887</v>
      </c>
      <c r="C536" s="16" t="s">
        <v>138</v>
      </c>
      <c r="D536" s="16" t="s">
        <v>139</v>
      </c>
      <c r="E536" s="6" t="n">
        <v>1000</v>
      </c>
      <c r="F536" s="7" t="n">
        <v>80</v>
      </c>
      <c r="G536" s="6" t="n">
        <v>34.9</v>
      </c>
      <c r="H536" s="6" t="n">
        <v>363</v>
      </c>
      <c r="I536" s="6" t="n">
        <v>2792</v>
      </c>
      <c r="J536" s="6" t="n">
        <v>2429</v>
      </c>
    </row>
    <row collapsed="false" customFormat="false" customHeight="false" hidden="false" ht="12.1" outlineLevel="0" r="537">
      <c r="A537" s="39" t="n">
        <v>46610</v>
      </c>
      <c r="B537" s="16" t="s">
        <v>887</v>
      </c>
      <c r="C537" s="16" t="s">
        <v>219</v>
      </c>
      <c r="D537" s="16" t="s">
        <v>220</v>
      </c>
      <c r="E537" s="6" t="n">
        <v>600</v>
      </c>
      <c r="F537" s="7" t="n">
        <v>5</v>
      </c>
      <c r="G537" s="6" t="n">
        <v>15.96</v>
      </c>
      <c r="H537" s="6" t="n">
        <v>10</v>
      </c>
      <c r="I537" s="6" t="n">
        <v>79.8</v>
      </c>
      <c r="J537" s="6" t="n">
        <v>69.8</v>
      </c>
    </row>
    <row collapsed="false" customFormat="false" customHeight="false" hidden="false" ht="12.1" outlineLevel="0" r="538">
      <c r="A538" s="39" t="n">
        <v>46614</v>
      </c>
      <c r="B538" s="16" t="s">
        <v>887</v>
      </c>
      <c r="C538" s="16" t="s">
        <v>189</v>
      </c>
      <c r="D538" s="16" t="s">
        <v>190</v>
      </c>
      <c r="E538" s="6" t="n">
        <v>1000</v>
      </c>
      <c r="F538" s="7" t="n">
        <v>5</v>
      </c>
      <c r="G538" s="6" t="n">
        <v>19.73</v>
      </c>
      <c r="H538" s="6" t="n">
        <v>13</v>
      </c>
      <c r="I538" s="6" t="n">
        <v>98.65</v>
      </c>
      <c r="J538" s="6" t="n">
        <v>85.65</v>
      </c>
    </row>
    <row collapsed="false" customFormat="false" customHeight="false" hidden="false" ht="12.1" outlineLevel="0" r="539">
      <c r="A539" s="39" t="n">
        <v>46616</v>
      </c>
      <c r="B539" s="16" t="s">
        <v>887</v>
      </c>
      <c r="C539" s="16" t="s">
        <v>192</v>
      </c>
      <c r="D539" s="16" t="s">
        <v>193</v>
      </c>
      <c r="E539" s="6" t="n">
        <v>1000</v>
      </c>
      <c r="F539" s="7" t="n">
        <v>5</v>
      </c>
      <c r="G539" s="6" t="n">
        <v>52.36</v>
      </c>
      <c r="H539" s="6" t="n">
        <v>34</v>
      </c>
      <c r="I539" s="6" t="n">
        <v>261.8</v>
      </c>
      <c r="J539" s="6" t="n">
        <v>227.8</v>
      </c>
    </row>
    <row collapsed="false" customFormat="false" customHeight="false" hidden="false" ht="12.1" outlineLevel="0" r="540">
      <c r="A540" s="39" t="n">
        <v>46616</v>
      </c>
      <c r="B540" s="16" t="s">
        <v>887</v>
      </c>
      <c r="C540" s="16" t="s">
        <v>177</v>
      </c>
      <c r="D540" s="16" t="s">
        <v>178</v>
      </c>
      <c r="E540" s="6" t="n">
        <v>1000</v>
      </c>
      <c r="F540" s="7" t="n">
        <v>17</v>
      </c>
      <c r="G540" s="6" t="n">
        <v>11.26</v>
      </c>
      <c r="H540" s="6" t="n">
        <v>25</v>
      </c>
      <c r="I540" s="6" t="n">
        <v>191.42</v>
      </c>
      <c r="J540" s="6" t="n">
        <v>166.42</v>
      </c>
    </row>
    <row collapsed="false" customFormat="false" customHeight="false" hidden="false" ht="12.1" outlineLevel="0" r="541">
      <c r="A541" s="39" t="n">
        <v>46622</v>
      </c>
      <c r="B541" s="16" t="s">
        <v>887</v>
      </c>
      <c r="C541" s="16" t="s">
        <v>240</v>
      </c>
      <c r="D541" s="16" t="s">
        <v>241</v>
      </c>
      <c r="E541" s="6" t="n">
        <v>0</v>
      </c>
      <c r="F541" s="7" t="n">
        <v>-2</v>
      </c>
      <c r="G541" s="6" t="n">
        <v>8.22</v>
      </c>
      <c r="H541" s="6" t="n">
        <v>-2</v>
      </c>
      <c r="I541" s="6" t="n">
        <v>-16.44</v>
      </c>
      <c r="J541" s="6" t="n">
        <v>-14.44</v>
      </c>
    </row>
    <row collapsed="false" customFormat="false" customHeight="false" hidden="false" ht="12.1" outlineLevel="0" r="542">
      <c r="A542" s="39" t="n">
        <v>46630</v>
      </c>
      <c r="B542" s="16" t="s">
        <v>887</v>
      </c>
      <c r="C542" s="16" t="s">
        <v>207</v>
      </c>
      <c r="D542" s="16" t="s">
        <v>208</v>
      </c>
      <c r="E542" s="6" t="n">
        <v>1000</v>
      </c>
      <c r="F542" s="7" t="n">
        <v>5</v>
      </c>
      <c r="G542" s="6" t="n">
        <v>46.12</v>
      </c>
      <c r="H542" s="6" t="n">
        <v>30</v>
      </c>
      <c r="I542" s="6" t="n">
        <v>230.6</v>
      </c>
      <c r="J542" s="6" t="n">
        <v>200.6</v>
      </c>
    </row>
    <row collapsed="false" customFormat="false" customHeight="false" hidden="false" ht="12.1" outlineLevel="0" r="543">
      <c r="A543" s="39" t="n">
        <v>46637</v>
      </c>
      <c r="B543" s="16" t="s">
        <v>887</v>
      </c>
      <c r="C543" s="16" t="s">
        <v>234</v>
      </c>
      <c r="D543" s="16" t="s">
        <v>235</v>
      </c>
      <c r="E543" s="6" t="n">
        <v>552.59</v>
      </c>
      <c r="F543" s="7" t="n">
        <v>1</v>
      </c>
      <c r="G543" s="6" t="n">
        <v>24.03</v>
      </c>
      <c r="H543" s="6" t="n">
        <v>3</v>
      </c>
      <c r="I543" s="6" t="n">
        <v>24.03</v>
      </c>
      <c r="J543" s="6" t="n">
        <v>21.03</v>
      </c>
    </row>
    <row collapsed="false" customFormat="false" customHeight="false" hidden="false" ht="12.1" outlineLevel="0" r="544">
      <c r="A544" s="39" t="n">
        <v>46639</v>
      </c>
      <c r="B544" s="16" t="s">
        <v>887</v>
      </c>
      <c r="C544" s="16" t="s">
        <v>171</v>
      </c>
      <c r="D544" s="16" t="s">
        <v>172</v>
      </c>
      <c r="E544" s="6" t="n">
        <v>1000</v>
      </c>
      <c r="F544" s="7" t="n">
        <v>20</v>
      </c>
      <c r="G544" s="6" t="n">
        <v>17.83</v>
      </c>
      <c r="H544" s="6" t="n">
        <v>46</v>
      </c>
      <c r="I544" s="6" t="n">
        <v>356.6</v>
      </c>
      <c r="J544" s="6" t="n">
        <v>310.6</v>
      </c>
    </row>
    <row collapsed="false" customFormat="false" customHeight="false" hidden="false" ht="12.1" outlineLevel="0" r="545">
      <c r="A545" s="39" t="n">
        <v>46644</v>
      </c>
      <c r="B545" s="16" t="s">
        <v>887</v>
      </c>
      <c r="C545" s="16" t="s">
        <v>189</v>
      </c>
      <c r="D545" s="16" t="s">
        <v>190</v>
      </c>
      <c r="E545" s="6" t="n">
        <v>1000</v>
      </c>
      <c r="F545" s="7" t="n">
        <v>5</v>
      </c>
      <c r="G545" s="6" t="n">
        <v>19.73</v>
      </c>
      <c r="H545" s="6" t="n">
        <v>13</v>
      </c>
      <c r="I545" s="6" t="n">
        <v>98.65</v>
      </c>
      <c r="J545" s="6" t="n">
        <v>85.65</v>
      </c>
    </row>
    <row collapsed="false" customFormat="false" customHeight="false" hidden="false" ht="12.1" outlineLevel="0" r="546">
      <c r="A546" s="39" t="n">
        <v>46644</v>
      </c>
      <c r="B546" s="16" t="s">
        <v>887</v>
      </c>
      <c r="C546" s="16" t="s">
        <v>156</v>
      </c>
      <c r="D546" s="16" t="s">
        <v>157</v>
      </c>
      <c r="E546" s="6" t="n">
        <v>1000</v>
      </c>
      <c r="F546" s="7" t="n">
        <v>34</v>
      </c>
      <c r="G546" s="6" t="n">
        <v>33.41</v>
      </c>
      <c r="H546" s="6" t="n">
        <v>148</v>
      </c>
      <c r="I546" s="6" t="n">
        <v>1135.94</v>
      </c>
      <c r="J546" s="6" t="n">
        <v>987.94</v>
      </c>
    </row>
    <row collapsed="false" customFormat="false" customHeight="false" hidden="false" ht="12.1" outlineLevel="0" r="547">
      <c r="A547" s="39" t="n">
        <v>46651</v>
      </c>
      <c r="B547" s="16" t="s">
        <v>887</v>
      </c>
      <c r="C547" s="16" t="s">
        <v>144</v>
      </c>
      <c r="D547" s="16" t="s">
        <v>145</v>
      </c>
      <c r="E547" s="6" t="n">
        <v>1000</v>
      </c>
      <c r="F547" s="7" t="n">
        <v>40</v>
      </c>
      <c r="G547" s="6" t="n">
        <v>56.1</v>
      </c>
      <c r="H547" s="6" t="n">
        <v>292</v>
      </c>
      <c r="I547" s="6" t="n">
        <v>2244</v>
      </c>
      <c r="J547" s="6" t="n">
        <v>1952</v>
      </c>
    </row>
    <row collapsed="false" customFormat="false" customHeight="false" hidden="false" ht="12.1" outlineLevel="0" r="548">
      <c r="A548" s="39" t="n">
        <v>46651</v>
      </c>
      <c r="B548" s="16" t="s">
        <v>887</v>
      </c>
      <c r="C548" s="16" t="s">
        <v>153</v>
      </c>
      <c r="D548" s="16" t="s">
        <v>154</v>
      </c>
      <c r="E548" s="6" t="n">
        <v>1000</v>
      </c>
      <c r="F548" s="7" t="n">
        <v>34</v>
      </c>
      <c r="G548" s="6" t="n">
        <v>59.84</v>
      </c>
      <c r="H548" s="6" t="n">
        <v>264</v>
      </c>
      <c r="I548" s="6" t="n">
        <v>2034.56</v>
      </c>
      <c r="J548" s="6" t="n">
        <v>1770.56</v>
      </c>
    </row>
    <row collapsed="false" customFormat="false" customHeight="false" hidden="false" ht="12.1" outlineLevel="0" r="549">
      <c r="A549" s="39" t="n">
        <v>46652</v>
      </c>
      <c r="B549" s="16" t="s">
        <v>887</v>
      </c>
      <c r="C549" s="16" t="s">
        <v>240</v>
      </c>
      <c r="D549" s="16" t="s">
        <v>241</v>
      </c>
      <c r="E549" s="6" t="n">
        <v>0</v>
      </c>
      <c r="F549" s="7" t="n">
        <v>-2</v>
      </c>
      <c r="G549" s="6" t="n">
        <v>8.22</v>
      </c>
      <c r="H549" s="6" t="n">
        <v>-2</v>
      </c>
      <c r="I549" s="6" t="n">
        <v>-16.44</v>
      </c>
      <c r="J549" s="6" t="n">
        <v>-14.44</v>
      </c>
    </row>
    <row collapsed="false" customFormat="false" customHeight="false" hidden="false" ht="12.1" outlineLevel="0" r="550">
      <c r="A550" s="39" t="n">
        <v>46658</v>
      </c>
      <c r="B550" s="16" t="s">
        <v>887</v>
      </c>
      <c r="C550" s="16" t="s">
        <v>150</v>
      </c>
      <c r="D550" s="16" t="s">
        <v>151</v>
      </c>
      <c r="E550" s="6" t="n">
        <v>1000</v>
      </c>
      <c r="F550" s="7" t="n">
        <v>45</v>
      </c>
      <c r="G550" s="6" t="n">
        <v>38.39</v>
      </c>
      <c r="H550" s="6" t="n">
        <v>225</v>
      </c>
      <c r="I550" s="6" t="n">
        <v>1727.55</v>
      </c>
      <c r="J550" s="6" t="n">
        <v>1502.55</v>
      </c>
    </row>
    <row collapsed="false" customFormat="false" customHeight="false" hidden="false" ht="12.1" outlineLevel="0" r="551">
      <c r="A551" s="39" t="n">
        <v>46674</v>
      </c>
      <c r="B551" s="16" t="s">
        <v>887</v>
      </c>
      <c r="C551" s="16" t="s">
        <v>189</v>
      </c>
      <c r="D551" s="16" t="s">
        <v>190</v>
      </c>
      <c r="E551" s="6" t="n">
        <v>1000</v>
      </c>
      <c r="F551" s="7" t="n">
        <v>5</v>
      </c>
      <c r="G551" s="6" t="n">
        <v>19.73</v>
      </c>
      <c r="H551" s="6" t="n">
        <v>13</v>
      </c>
      <c r="I551" s="6" t="n">
        <v>98.65</v>
      </c>
      <c r="J551" s="6" t="n">
        <v>85.65</v>
      </c>
    </row>
    <row collapsed="false" customFormat="false" customHeight="false" hidden="false" ht="12.1" outlineLevel="0" r="552">
      <c r="A552" s="39" t="n">
        <v>46679</v>
      </c>
      <c r="B552" s="16" t="s">
        <v>887</v>
      </c>
      <c r="C552" s="16" t="s">
        <v>183</v>
      </c>
      <c r="D552" s="16" t="s">
        <v>184</v>
      </c>
      <c r="E552" s="6" t="n">
        <v>1000</v>
      </c>
      <c r="F552" s="7" t="n">
        <v>9</v>
      </c>
      <c r="G552" s="6" t="n">
        <v>64.82</v>
      </c>
      <c r="H552" s="6" t="n">
        <v>76</v>
      </c>
      <c r="I552" s="6" t="n">
        <v>583.38</v>
      </c>
      <c r="J552" s="6" t="n">
        <v>507.38</v>
      </c>
    </row>
    <row collapsed="false" customFormat="false" customHeight="false" hidden="false" ht="12.1" outlineLevel="0" r="553">
      <c r="A553" s="39" t="n">
        <v>46680</v>
      </c>
      <c r="B553" s="16" t="s">
        <v>887</v>
      </c>
      <c r="C553" s="16" t="s">
        <v>180</v>
      </c>
      <c r="D553" s="16" t="s">
        <v>181</v>
      </c>
      <c r="E553" s="6" t="n">
        <v>1000</v>
      </c>
      <c r="F553" s="7" t="n">
        <v>12</v>
      </c>
      <c r="G553" s="6" t="n">
        <v>16.83</v>
      </c>
      <c r="H553" s="6" t="n">
        <v>26</v>
      </c>
      <c r="I553" s="6" t="n">
        <v>201.96</v>
      </c>
      <c r="J553" s="6" t="n">
        <v>175.96</v>
      </c>
    </row>
    <row collapsed="false" customFormat="false" customHeight="false" hidden="false" ht="12.1" outlineLevel="0" r="554">
      <c r="A554" s="39" t="n">
        <v>46682</v>
      </c>
      <c r="B554" s="16" t="s">
        <v>887</v>
      </c>
      <c r="C554" s="16" t="s">
        <v>240</v>
      </c>
      <c r="D554" s="16" t="s">
        <v>241</v>
      </c>
      <c r="E554" s="6" t="n">
        <v>0</v>
      </c>
      <c r="F554" s="7" t="n">
        <v>-2</v>
      </c>
      <c r="G554" s="6" t="n">
        <v>8.22</v>
      </c>
      <c r="H554" s="6" t="n">
        <v>-2</v>
      </c>
      <c r="I554" s="6" t="n">
        <v>-16.44</v>
      </c>
      <c r="J554" s="6" t="n">
        <v>-14.44</v>
      </c>
    </row>
    <row collapsed="false" customFormat="false" customHeight="false" hidden="false" ht="12.1" outlineLevel="0" r="555">
      <c r="A555" s="39" t="n">
        <v>46701</v>
      </c>
      <c r="B555" s="16" t="s">
        <v>887</v>
      </c>
      <c r="C555" s="16" t="s">
        <v>219</v>
      </c>
      <c r="D555" s="16" t="s">
        <v>220</v>
      </c>
      <c r="E555" s="6" t="n">
        <v>600</v>
      </c>
      <c r="F555" s="7" t="n">
        <v>5</v>
      </c>
      <c r="G555" s="6" t="n">
        <v>15.96</v>
      </c>
      <c r="H555" s="6" t="n">
        <v>10</v>
      </c>
      <c r="I555" s="6" t="n">
        <v>79.8</v>
      </c>
      <c r="J555" s="6" t="n">
        <v>69.8</v>
      </c>
    </row>
    <row collapsed="false" customFormat="false" customHeight="false" hidden="false" ht="12.1" outlineLevel="0" r="556">
      <c r="A556" s="39" t="n">
        <v>46704</v>
      </c>
      <c r="B556" s="16" t="s">
        <v>887</v>
      </c>
      <c r="C556" s="16" t="s">
        <v>189</v>
      </c>
      <c r="D556" s="16" t="s">
        <v>190</v>
      </c>
      <c r="E556" s="6" t="n">
        <v>1000</v>
      </c>
      <c r="F556" s="7" t="n">
        <v>5</v>
      </c>
      <c r="G556" s="6" t="n">
        <v>19.73</v>
      </c>
      <c r="H556" s="6" t="n">
        <v>13</v>
      </c>
      <c r="I556" s="6" t="n">
        <v>98.65</v>
      </c>
      <c r="J556" s="6" t="n">
        <v>85.65</v>
      </c>
    </row>
    <row collapsed="false" customFormat="false" customHeight="false" hidden="false" ht="12.1" outlineLevel="0" r="557">
      <c r="A557" s="39" t="n">
        <v>46707</v>
      </c>
      <c r="B557" s="16" t="s">
        <v>887</v>
      </c>
      <c r="C557" s="16" t="s">
        <v>192</v>
      </c>
      <c r="D557" s="16" t="s">
        <v>193</v>
      </c>
      <c r="E557" s="6" t="n">
        <v>1000</v>
      </c>
      <c r="F557" s="7" t="n">
        <v>5</v>
      </c>
      <c r="G557" s="6" t="n">
        <v>52.36</v>
      </c>
      <c r="H557" s="6" t="n">
        <v>34</v>
      </c>
      <c r="I557" s="6" t="n">
        <v>261.8</v>
      </c>
      <c r="J557" s="6" t="n">
        <v>227.8</v>
      </c>
    </row>
    <row collapsed="false" customFormat="false" customHeight="false" hidden="false" ht="12.1" outlineLevel="0" r="558">
      <c r="A558" s="39" t="n">
        <v>46707</v>
      </c>
      <c r="B558" s="16" t="s">
        <v>887</v>
      </c>
      <c r="C558" s="16" t="s">
        <v>186</v>
      </c>
      <c r="D558" s="16" t="s">
        <v>187</v>
      </c>
      <c r="E558" s="6" t="n">
        <v>1000</v>
      </c>
      <c r="F558" s="7" t="n">
        <v>10</v>
      </c>
      <c r="G558" s="6" t="n">
        <v>28.42</v>
      </c>
      <c r="H558" s="6" t="n">
        <v>37</v>
      </c>
      <c r="I558" s="6" t="n">
        <v>284.2</v>
      </c>
      <c r="J558" s="6" t="n">
        <v>247.2</v>
      </c>
    </row>
    <row collapsed="false" customFormat="false" customHeight="false" hidden="false" ht="12.1" outlineLevel="0" r="559">
      <c r="A559" s="39" t="n">
        <v>46712</v>
      </c>
      <c r="B559" s="16" t="s">
        <v>887</v>
      </c>
      <c r="C559" s="16" t="s">
        <v>240</v>
      </c>
      <c r="D559" s="16" t="s">
        <v>241</v>
      </c>
      <c r="E559" s="6" t="n">
        <v>0</v>
      </c>
      <c r="F559" s="7" t="n">
        <v>-2</v>
      </c>
      <c r="G559" s="6" t="n">
        <v>8.22</v>
      </c>
      <c r="H559" s="6" t="n">
        <v>-2</v>
      </c>
      <c r="I559" s="6" t="n">
        <v>-16.44</v>
      </c>
      <c r="J559" s="6" t="n">
        <v>-14.44</v>
      </c>
    </row>
    <row collapsed="false" customFormat="false" customHeight="false" hidden="false" ht="12.1" outlineLevel="0" r="560">
      <c r="A560" s="39" t="n">
        <v>46714</v>
      </c>
      <c r="B560" s="16" t="s">
        <v>887</v>
      </c>
      <c r="C560" s="16" t="s">
        <v>159</v>
      </c>
      <c r="D560" s="16" t="s">
        <v>160</v>
      </c>
      <c r="E560" s="6" t="n">
        <v>1000</v>
      </c>
      <c r="F560" s="7" t="n">
        <v>34</v>
      </c>
      <c r="G560" s="6" t="n">
        <v>47.37</v>
      </c>
      <c r="H560" s="6" t="n">
        <v>209</v>
      </c>
      <c r="I560" s="6" t="n">
        <v>1610.58</v>
      </c>
      <c r="J560" s="6" t="n">
        <v>1401.58</v>
      </c>
    </row>
    <row collapsed="false" customFormat="false" customHeight="false" hidden="false" ht="12.1" outlineLevel="0" r="561">
      <c r="A561" s="39" t="n">
        <v>46714</v>
      </c>
      <c r="B561" s="16" t="s">
        <v>887</v>
      </c>
      <c r="C561" s="16" t="s">
        <v>168</v>
      </c>
      <c r="D561" s="16" t="s">
        <v>169</v>
      </c>
      <c r="E561" s="6" t="n">
        <v>1000</v>
      </c>
      <c r="F561" s="7" t="n">
        <v>20</v>
      </c>
      <c r="G561" s="6" t="n">
        <v>61.08</v>
      </c>
      <c r="H561" s="6" t="n">
        <v>159</v>
      </c>
      <c r="I561" s="6" t="n">
        <v>1221.6</v>
      </c>
      <c r="J561" s="6" t="n">
        <v>1062.6</v>
      </c>
    </row>
    <row collapsed="false" customFormat="false" customHeight="false" hidden="false" ht="12.1" outlineLevel="0" r="562">
      <c r="A562" s="39" t="n">
        <v>46720</v>
      </c>
      <c r="B562" s="16" t="s">
        <v>887</v>
      </c>
      <c r="C562" s="16" t="s">
        <v>204</v>
      </c>
      <c r="D562" s="16" t="s">
        <v>205</v>
      </c>
      <c r="E562" s="6" t="n">
        <v>1000</v>
      </c>
      <c r="F562" s="7" t="n">
        <v>5</v>
      </c>
      <c r="G562" s="6" t="n">
        <v>56.1</v>
      </c>
      <c r="H562" s="6" t="n">
        <v>36</v>
      </c>
      <c r="I562" s="6" t="n">
        <v>280.5</v>
      </c>
      <c r="J562" s="6" t="n">
        <v>244.5</v>
      </c>
    </row>
    <row collapsed="false" customFormat="false" customHeight="false" hidden="false" ht="12.1" outlineLevel="0" r="563">
      <c r="A563" s="39" t="n">
        <v>46721</v>
      </c>
      <c r="B563" s="16" t="s">
        <v>887</v>
      </c>
      <c r="C563" s="16" t="s">
        <v>141</v>
      </c>
      <c r="D563" s="16" t="s">
        <v>142</v>
      </c>
      <c r="E563" s="6" t="n">
        <v>1000</v>
      </c>
      <c r="F563" s="7" t="n">
        <v>53</v>
      </c>
      <c r="G563" s="6" t="n">
        <v>48.87</v>
      </c>
      <c r="H563" s="6" t="n">
        <v>337</v>
      </c>
      <c r="I563" s="6" t="n">
        <v>2590.11</v>
      </c>
      <c r="J563" s="6" t="n">
        <v>2253.11</v>
      </c>
    </row>
    <row collapsed="false" customFormat="false" customHeight="false" hidden="false" ht="12.1" outlineLevel="0" r="564">
      <c r="A564" s="39" t="n">
        <v>46721</v>
      </c>
      <c r="B564" s="16" t="s">
        <v>887</v>
      </c>
      <c r="C564" s="16" t="s">
        <v>165</v>
      </c>
      <c r="D564" s="16" t="s">
        <v>166</v>
      </c>
      <c r="E564" s="6" t="n">
        <v>1000</v>
      </c>
      <c r="F564" s="7" t="n">
        <v>20</v>
      </c>
      <c r="G564" s="6" t="n">
        <v>61.08</v>
      </c>
      <c r="H564" s="6" t="n">
        <v>159</v>
      </c>
      <c r="I564" s="6" t="n">
        <v>1221.6</v>
      </c>
      <c r="J564" s="6" t="n">
        <v>1062.6</v>
      </c>
    </row>
    <row collapsed="false" customFormat="false" customHeight="false" hidden="false" ht="12.1" outlineLevel="0" r="565">
      <c r="A565" s="39" t="n">
        <v>46721</v>
      </c>
      <c r="B565" s="16" t="s">
        <v>887</v>
      </c>
      <c r="C565" s="16" t="s">
        <v>134</v>
      </c>
      <c r="D565" s="16" t="s">
        <v>136</v>
      </c>
      <c r="E565" s="6" t="n">
        <v>1000</v>
      </c>
      <c r="F565" s="7" t="n">
        <v>88</v>
      </c>
      <c r="G565" s="6" t="n">
        <v>35.4</v>
      </c>
      <c r="H565" s="6" t="n">
        <v>405</v>
      </c>
      <c r="I565" s="6" t="n">
        <v>3115.2</v>
      </c>
      <c r="J565" s="6" t="n">
        <v>2710.2</v>
      </c>
    </row>
    <row collapsed="false" customFormat="false" customHeight="false" hidden="false" ht="12.1" outlineLevel="0" r="566">
      <c r="A566" s="39" t="n">
        <v>46726</v>
      </c>
      <c r="B566" s="16" t="s">
        <v>887</v>
      </c>
      <c r="C566" s="16" t="s">
        <v>231</v>
      </c>
      <c r="D566" s="16" t="s">
        <v>232</v>
      </c>
      <c r="E566" s="6" t="n">
        <v>1000</v>
      </c>
      <c r="F566" s="7" t="n">
        <v>1</v>
      </c>
      <c r="G566" s="6" t="n">
        <v>81.78</v>
      </c>
      <c r="H566" s="6" t="n">
        <v>11</v>
      </c>
      <c r="I566" s="6" t="n">
        <v>81.78</v>
      </c>
      <c r="J566" s="6" t="n">
        <v>70.78</v>
      </c>
    </row>
    <row collapsed="false" customFormat="false" customHeight="false" hidden="false" ht="12.1" outlineLevel="0" r="567">
      <c r="A567" s="39" t="n">
        <v>46728</v>
      </c>
      <c r="B567" s="16" t="s">
        <v>887</v>
      </c>
      <c r="C567" s="16" t="s">
        <v>234</v>
      </c>
      <c r="D567" s="16" t="s">
        <v>235</v>
      </c>
      <c r="E567" s="6" t="n">
        <v>552.59</v>
      </c>
      <c r="F567" s="7" t="n">
        <v>1</v>
      </c>
      <c r="G567" s="6" t="n">
        <v>22.75</v>
      </c>
      <c r="H567" s="6" t="n">
        <v>3</v>
      </c>
      <c r="I567" s="6" t="n">
        <v>22.75</v>
      </c>
      <c r="J567" s="6" t="n">
        <v>19.75</v>
      </c>
    </row>
    <row collapsed="false" customFormat="false" customHeight="false" hidden="false" ht="12.1" outlineLevel="0" r="568">
      <c r="A568" s="39" t="n">
        <v>46730</v>
      </c>
      <c r="B568" s="16" t="s">
        <v>887</v>
      </c>
      <c r="C568" s="16" t="s">
        <v>171</v>
      </c>
      <c r="D568" s="16" t="s">
        <v>172</v>
      </c>
      <c r="E568" s="6" t="n">
        <v>1000</v>
      </c>
      <c r="F568" s="7" t="n">
        <v>20</v>
      </c>
      <c r="G568" s="6" t="n">
        <v>17.83</v>
      </c>
      <c r="H568" s="6" t="n">
        <v>46</v>
      </c>
      <c r="I568" s="6" t="n">
        <v>356.6</v>
      </c>
      <c r="J568" s="6" t="n">
        <v>310.6</v>
      </c>
    </row>
    <row collapsed="false" customFormat="false" customHeight="false" hidden="false" ht="12.1" outlineLevel="0" r="569">
      <c r="A569" s="39" t="n">
        <v>46734</v>
      </c>
      <c r="B569" s="16" t="s">
        <v>887</v>
      </c>
      <c r="C569" s="16" t="s">
        <v>189</v>
      </c>
      <c r="D569" s="16" t="s">
        <v>190</v>
      </c>
      <c r="E569" s="6" t="n">
        <v>1000</v>
      </c>
      <c r="F569" s="7" t="n">
        <v>5</v>
      </c>
      <c r="G569" s="6" t="n">
        <v>19.73</v>
      </c>
      <c r="H569" s="6" t="n">
        <v>13</v>
      </c>
      <c r="I569" s="6" t="n">
        <v>98.65</v>
      </c>
      <c r="J569" s="6" t="n">
        <v>85.65</v>
      </c>
    </row>
    <row collapsed="false" customFormat="false" customHeight="false" hidden="false" ht="12.1" outlineLevel="0" r="570">
      <c r="A570" s="39" t="n">
        <v>46742</v>
      </c>
      <c r="B570" s="16" t="s">
        <v>887</v>
      </c>
      <c r="C570" s="16" t="s">
        <v>240</v>
      </c>
      <c r="D570" s="16" t="s">
        <v>241</v>
      </c>
      <c r="E570" s="6" t="n">
        <v>0</v>
      </c>
      <c r="F570" s="7" t="n">
        <v>-2</v>
      </c>
      <c r="G570" s="6" t="n">
        <v>8.22</v>
      </c>
      <c r="H570" s="6" t="n">
        <v>-2</v>
      </c>
      <c r="I570" s="6" t="n">
        <v>-16.44</v>
      </c>
      <c r="J570" s="6" t="n">
        <v>-14.44</v>
      </c>
    </row>
    <row collapsed="false" customFormat="false" customHeight="false" hidden="false" ht="12.1" outlineLevel="0" r="571">
      <c r="A571" s="39" t="n">
        <v>46764</v>
      </c>
      <c r="B571" s="16" t="s">
        <v>887</v>
      </c>
      <c r="C571" s="16" t="s">
        <v>189</v>
      </c>
      <c r="D571" s="16" t="s">
        <v>190</v>
      </c>
      <c r="E571" s="6" t="n">
        <v>1000</v>
      </c>
      <c r="F571" s="7" t="n">
        <v>5</v>
      </c>
      <c r="G571" s="6" t="n">
        <v>19.73</v>
      </c>
      <c r="H571" s="6" t="n">
        <v>13</v>
      </c>
      <c r="I571" s="6" t="n">
        <v>98.65</v>
      </c>
      <c r="J571" s="6" t="n">
        <v>85.65</v>
      </c>
    </row>
    <row collapsed="false" customFormat="false" customHeight="false" hidden="false" ht="12.1" outlineLevel="0" r="572">
      <c r="A572" s="39" t="n">
        <v>46771</v>
      </c>
      <c r="B572" s="16" t="s">
        <v>887</v>
      </c>
      <c r="C572" s="16" t="s">
        <v>180</v>
      </c>
      <c r="D572" s="16" t="s">
        <v>181</v>
      </c>
      <c r="E572" s="6" t="n">
        <v>1000</v>
      </c>
      <c r="F572" s="7" t="n">
        <v>12</v>
      </c>
      <c r="G572" s="6" t="n">
        <v>16.83</v>
      </c>
      <c r="H572" s="6" t="n">
        <v>26</v>
      </c>
      <c r="I572" s="6" t="n">
        <v>201.96</v>
      </c>
      <c r="J572" s="6" t="n">
        <v>175.96</v>
      </c>
    </row>
    <row collapsed="false" customFormat="false" customHeight="false" hidden="false" ht="12.1" outlineLevel="0" r="573">
      <c r="A573" s="39" t="n">
        <v>46772</v>
      </c>
      <c r="B573" s="16" t="s">
        <v>887</v>
      </c>
      <c r="C573" s="16" t="s">
        <v>240</v>
      </c>
      <c r="D573" s="16" t="s">
        <v>241</v>
      </c>
      <c r="E573" s="6" t="n">
        <v>0</v>
      </c>
      <c r="F573" s="7" t="n">
        <v>-2</v>
      </c>
      <c r="G573" s="6" t="n">
        <v>8.22</v>
      </c>
      <c r="H573" s="6" t="n">
        <v>-2</v>
      </c>
      <c r="I573" s="6" t="n">
        <v>-16.44</v>
      </c>
      <c r="J573" s="6" t="n">
        <v>-14.44</v>
      </c>
    </row>
    <row collapsed="false" customFormat="false" customHeight="false" hidden="false" ht="12.1" outlineLevel="0" r="574">
      <c r="A574" s="39" t="n">
        <v>46791</v>
      </c>
      <c r="B574" s="16" t="s">
        <v>887</v>
      </c>
      <c r="C574" s="16" t="s">
        <v>138</v>
      </c>
      <c r="D574" s="16" t="s">
        <v>139</v>
      </c>
      <c r="E574" s="6" t="n">
        <v>1000</v>
      </c>
      <c r="F574" s="7" t="n">
        <v>80</v>
      </c>
      <c r="G574" s="6" t="n">
        <v>34.9</v>
      </c>
      <c r="H574" s="6" t="n">
        <v>363</v>
      </c>
      <c r="I574" s="6" t="n">
        <v>2792</v>
      </c>
      <c r="J574" s="6" t="n">
        <v>2429</v>
      </c>
    </row>
    <row collapsed="false" customFormat="false" customHeight="false" hidden="false" ht="12.1" outlineLevel="0" r="575">
      <c r="A575" s="39" t="n">
        <v>46792</v>
      </c>
      <c r="B575" s="16" t="s">
        <v>887</v>
      </c>
      <c r="C575" s="16" t="s">
        <v>219</v>
      </c>
      <c r="D575" s="16" t="s">
        <v>220</v>
      </c>
      <c r="E575" s="6" t="n">
        <v>600</v>
      </c>
      <c r="F575" s="7" t="n">
        <v>5</v>
      </c>
      <c r="G575" s="6" t="n">
        <v>11.97</v>
      </c>
      <c r="H575" s="6" t="n">
        <v>8</v>
      </c>
      <c r="I575" s="6" t="n">
        <v>59.85</v>
      </c>
      <c r="J575" s="6" t="n">
        <v>51.85</v>
      </c>
    </row>
    <row collapsed="false" customFormat="false" customHeight="false" hidden="false" ht="12.1" outlineLevel="0" r="576">
      <c r="A576" s="39" t="n">
        <v>46794</v>
      </c>
      <c r="B576" s="16" t="s">
        <v>887</v>
      </c>
      <c r="C576" s="16" t="s">
        <v>189</v>
      </c>
      <c r="D576" s="16" t="s">
        <v>190</v>
      </c>
      <c r="E576" s="6" t="n">
        <v>1000</v>
      </c>
      <c r="F576" s="7" t="n">
        <v>5</v>
      </c>
      <c r="G576" s="6" t="n">
        <v>19.73</v>
      </c>
      <c r="H576" s="6" t="n">
        <v>13</v>
      </c>
      <c r="I576" s="6" t="n">
        <v>98.65</v>
      </c>
      <c r="J576" s="6" t="n">
        <v>85.65</v>
      </c>
    </row>
    <row collapsed="false" customFormat="false" customHeight="false" hidden="false" ht="12.1" outlineLevel="0" r="577">
      <c r="A577" s="39" t="n">
        <v>46798</v>
      </c>
      <c r="B577" s="16" t="s">
        <v>887</v>
      </c>
      <c r="C577" s="16" t="s">
        <v>192</v>
      </c>
      <c r="D577" s="16" t="s">
        <v>193</v>
      </c>
      <c r="E577" s="6" t="n">
        <v>1000</v>
      </c>
      <c r="F577" s="7" t="n">
        <v>5</v>
      </c>
      <c r="G577" s="6" t="n">
        <v>52.36</v>
      </c>
      <c r="H577" s="6" t="n">
        <v>34</v>
      </c>
      <c r="I577" s="6" t="n">
        <v>261.8</v>
      </c>
      <c r="J577" s="6" t="n">
        <v>227.8</v>
      </c>
    </row>
    <row collapsed="false" customFormat="false" customHeight="false" hidden="false" ht="12.1" outlineLevel="0" r="578">
      <c r="A578" s="39" t="n">
        <v>46802</v>
      </c>
      <c r="B578" s="16" t="s">
        <v>887</v>
      </c>
      <c r="C578" s="16" t="s">
        <v>240</v>
      </c>
      <c r="D578" s="16" t="s">
        <v>241</v>
      </c>
      <c r="E578" s="6" t="n">
        <v>0</v>
      </c>
      <c r="F578" s="7" t="n">
        <v>-2</v>
      </c>
      <c r="G578" s="6" t="n">
        <v>8.22</v>
      </c>
      <c r="H578" s="6" t="n">
        <v>-2</v>
      </c>
      <c r="I578" s="6" t="n">
        <v>-16.44</v>
      </c>
      <c r="J578" s="6" t="n">
        <v>-14.44</v>
      </c>
    </row>
    <row collapsed="false" customFormat="false" customHeight="false" hidden="false" ht="12.1" outlineLevel="0" r="579">
      <c r="A579" s="39" t="n">
        <v>46819</v>
      </c>
      <c r="B579" s="16" t="s">
        <v>887</v>
      </c>
      <c r="C579" s="16" t="s">
        <v>234</v>
      </c>
      <c r="D579" s="16" t="s">
        <v>235</v>
      </c>
      <c r="E579" s="6" t="n">
        <v>552.59</v>
      </c>
      <c r="F579" s="7" t="n">
        <v>1</v>
      </c>
      <c r="G579" s="6" t="n">
        <v>21.43</v>
      </c>
      <c r="H579" s="6" t="n">
        <v>3</v>
      </c>
      <c r="I579" s="6" t="n">
        <v>21.43</v>
      </c>
      <c r="J579" s="6" t="n">
        <v>18.43</v>
      </c>
    </row>
    <row collapsed="false" customFormat="false" customHeight="false" hidden="false" ht="12.1" outlineLevel="0" r="580">
      <c r="A580" s="39" t="n">
        <v>46821</v>
      </c>
      <c r="B580" s="16" t="s">
        <v>887</v>
      </c>
      <c r="C580" s="16" t="s">
        <v>171</v>
      </c>
      <c r="D580" s="16" t="s">
        <v>172</v>
      </c>
      <c r="E580" s="6" t="n">
        <v>1000</v>
      </c>
      <c r="F580" s="7" t="n">
        <v>20</v>
      </c>
      <c r="G580" s="6" t="n">
        <v>17.83</v>
      </c>
      <c r="H580" s="6" t="n">
        <v>46</v>
      </c>
      <c r="I580" s="6" t="n">
        <v>356.6</v>
      </c>
      <c r="J580" s="6" t="n">
        <v>310.6</v>
      </c>
    </row>
    <row collapsed="false" customFormat="false" customHeight="false" hidden="false" ht="12.1" outlineLevel="0" r="581">
      <c r="A581" s="39" t="n">
        <v>46824</v>
      </c>
      <c r="B581" s="16" t="s">
        <v>887</v>
      </c>
      <c r="C581" s="16" t="s">
        <v>189</v>
      </c>
      <c r="D581" s="16" t="s">
        <v>190</v>
      </c>
      <c r="E581" s="6" t="n">
        <v>1000</v>
      </c>
      <c r="F581" s="7" t="n">
        <v>5</v>
      </c>
      <c r="G581" s="6" t="n">
        <v>19.73</v>
      </c>
      <c r="H581" s="6" t="n">
        <v>13</v>
      </c>
      <c r="I581" s="6" t="n">
        <v>98.65</v>
      </c>
      <c r="J581" s="6" t="n">
        <v>85.65</v>
      </c>
    </row>
    <row collapsed="false" customFormat="false" customHeight="false" hidden="false" ht="12.1" outlineLevel="0" r="582">
      <c r="A582" s="39" t="n">
        <v>46826</v>
      </c>
      <c r="B582" s="16" t="s">
        <v>887</v>
      </c>
      <c r="C582" s="16" t="s">
        <v>156</v>
      </c>
      <c r="D582" s="16" t="s">
        <v>157</v>
      </c>
      <c r="E582" s="6" t="n">
        <v>1000</v>
      </c>
      <c r="F582" s="7" t="n">
        <v>34</v>
      </c>
      <c r="G582" s="6" t="n">
        <v>33.41</v>
      </c>
      <c r="H582" s="6" t="n">
        <v>148</v>
      </c>
      <c r="I582" s="6" t="n">
        <v>1135.94</v>
      </c>
      <c r="J582" s="6" t="n">
        <v>987.94</v>
      </c>
    </row>
    <row collapsed="false" customFormat="false" customHeight="false" hidden="false" ht="12.1" outlineLevel="0" r="583">
      <c r="A583" s="39" t="n">
        <v>46832</v>
      </c>
      <c r="B583" s="16" t="s">
        <v>887</v>
      </c>
      <c r="C583" s="16" t="s">
        <v>240</v>
      </c>
      <c r="D583" s="16" t="s">
        <v>241</v>
      </c>
      <c r="E583" s="6" t="n">
        <v>0</v>
      </c>
      <c r="F583" s="7" t="n">
        <v>-2</v>
      </c>
      <c r="G583" s="6" t="n">
        <v>8.22</v>
      </c>
      <c r="H583" s="6" t="n">
        <v>-2</v>
      </c>
      <c r="I583" s="6" t="n">
        <v>-16.44</v>
      </c>
      <c r="J583" s="6" t="n">
        <v>-14.44</v>
      </c>
    </row>
    <row collapsed="false" customFormat="false" customHeight="false" hidden="false" ht="12.1" outlineLevel="0" r="584">
      <c r="A584" s="39" t="n">
        <v>46833</v>
      </c>
      <c r="B584" s="16" t="s">
        <v>887</v>
      </c>
      <c r="C584" s="16" t="s">
        <v>153</v>
      </c>
      <c r="D584" s="16" t="s">
        <v>154</v>
      </c>
      <c r="E584" s="6" t="n">
        <v>1000</v>
      </c>
      <c r="F584" s="7" t="n">
        <v>34</v>
      </c>
      <c r="G584" s="6" t="n">
        <v>59.84</v>
      </c>
      <c r="H584" s="6" t="n">
        <v>264</v>
      </c>
      <c r="I584" s="6" t="n">
        <v>2034.56</v>
      </c>
      <c r="J584" s="6" t="n">
        <v>1770.56</v>
      </c>
    </row>
    <row collapsed="false" customFormat="false" customHeight="false" hidden="false" ht="12.1" outlineLevel="0" r="585">
      <c r="A585" s="39" t="n">
        <v>46833</v>
      </c>
      <c r="B585" s="16" t="s">
        <v>887</v>
      </c>
      <c r="C585" s="16" t="s">
        <v>144</v>
      </c>
      <c r="D585" s="16" t="s">
        <v>145</v>
      </c>
      <c r="E585" s="6" t="n">
        <v>1000</v>
      </c>
      <c r="F585" s="7" t="n">
        <v>40</v>
      </c>
      <c r="G585" s="6" t="n">
        <v>56.1</v>
      </c>
      <c r="H585" s="6" t="n">
        <v>292</v>
      </c>
      <c r="I585" s="6" t="n">
        <v>2244</v>
      </c>
      <c r="J585" s="6" t="n">
        <v>1952</v>
      </c>
    </row>
    <row collapsed="false" customFormat="false" customHeight="false" hidden="false" ht="12.1" outlineLevel="0" r="586">
      <c r="A586" s="39" t="n">
        <v>46840</v>
      </c>
      <c r="B586" s="16" t="s">
        <v>887</v>
      </c>
      <c r="C586" s="16" t="s">
        <v>150</v>
      </c>
      <c r="D586" s="16" t="s">
        <v>151</v>
      </c>
      <c r="E586" s="6" t="n">
        <v>1000</v>
      </c>
      <c r="F586" s="7" t="n">
        <v>45</v>
      </c>
      <c r="G586" s="6" t="n">
        <v>38.39</v>
      </c>
      <c r="H586" s="6" t="n">
        <v>225</v>
      </c>
      <c r="I586" s="6" t="n">
        <v>1727.55</v>
      </c>
      <c r="J586" s="6" t="n">
        <v>1502.55</v>
      </c>
    </row>
    <row collapsed="false" customFormat="false" customHeight="false" hidden="false" ht="12.1" outlineLevel="0" r="587">
      <c r="A587" s="39" t="n">
        <v>46854</v>
      </c>
      <c r="B587" s="16" t="s">
        <v>887</v>
      </c>
      <c r="C587" s="16" t="s">
        <v>189</v>
      </c>
      <c r="D587" s="16" t="s">
        <v>190</v>
      </c>
      <c r="E587" s="6" t="n">
        <v>1000</v>
      </c>
      <c r="F587" s="7" t="n">
        <v>5</v>
      </c>
      <c r="G587" s="6" t="n">
        <v>19.73</v>
      </c>
      <c r="H587" s="6" t="n">
        <v>13</v>
      </c>
      <c r="I587" s="6" t="n">
        <v>98.65</v>
      </c>
      <c r="J587" s="6" t="n">
        <v>85.65</v>
      </c>
    </row>
    <row collapsed="false" customFormat="false" customHeight="false" hidden="false" ht="12.1" outlineLevel="0" r="588">
      <c r="A588" s="39" t="n">
        <v>46861</v>
      </c>
      <c r="B588" s="16" t="s">
        <v>887</v>
      </c>
      <c r="C588" s="16" t="s">
        <v>183</v>
      </c>
      <c r="D588" s="16" t="s">
        <v>184</v>
      </c>
      <c r="E588" s="6" t="n">
        <v>1000</v>
      </c>
      <c r="F588" s="7" t="n">
        <v>9</v>
      </c>
      <c r="G588" s="6" t="n">
        <v>64.82</v>
      </c>
      <c r="H588" s="6" t="n">
        <v>76</v>
      </c>
      <c r="I588" s="6" t="n">
        <v>583.38</v>
      </c>
      <c r="J588" s="6" t="n">
        <v>507.38</v>
      </c>
    </row>
    <row collapsed="false" customFormat="false" customHeight="false" hidden="false" ht="12.1" outlineLevel="0" r="589">
      <c r="A589" s="39" t="n">
        <v>46862</v>
      </c>
      <c r="B589" s="16" t="s">
        <v>887</v>
      </c>
      <c r="C589" s="16" t="s">
        <v>180</v>
      </c>
      <c r="D589" s="16" t="s">
        <v>181</v>
      </c>
      <c r="E589" s="6" t="n">
        <v>1000</v>
      </c>
      <c r="F589" s="7" t="n">
        <v>12</v>
      </c>
      <c r="G589" s="6" t="n">
        <v>16.83</v>
      </c>
      <c r="H589" s="6" t="n">
        <v>26</v>
      </c>
      <c r="I589" s="6" t="n">
        <v>201.96</v>
      </c>
      <c r="J589" s="6" t="n">
        <v>175.96</v>
      </c>
    </row>
    <row collapsed="false" customFormat="false" customHeight="false" hidden="false" ht="12.1" outlineLevel="0" r="590">
      <c r="A590" s="39" t="n">
        <v>46862</v>
      </c>
      <c r="B590" s="16" t="s">
        <v>887</v>
      </c>
      <c r="C590" s="16" t="s">
        <v>240</v>
      </c>
      <c r="D590" s="16" t="s">
        <v>241</v>
      </c>
      <c r="E590" s="6" t="n">
        <v>0</v>
      </c>
      <c r="F590" s="7" t="n">
        <v>-2</v>
      </c>
      <c r="G590" s="6" t="n">
        <v>8.22</v>
      </c>
      <c r="H590" s="6" t="n">
        <v>-2</v>
      </c>
      <c r="I590" s="6" t="n">
        <v>-16.44</v>
      </c>
      <c r="J590" s="6" t="n">
        <v>-14.44</v>
      </c>
    </row>
    <row collapsed="false" customFormat="false" customHeight="false" hidden="false" ht="12.1" outlineLevel="0" r="591">
      <c r="A591" s="39" t="n">
        <v>46883</v>
      </c>
      <c r="B591" s="16" t="s">
        <v>887</v>
      </c>
      <c r="C591" s="16" t="s">
        <v>219</v>
      </c>
      <c r="D591" s="16" t="s">
        <v>220</v>
      </c>
      <c r="E591" s="6" t="n">
        <v>600</v>
      </c>
      <c r="F591" s="7" t="n">
        <v>5</v>
      </c>
      <c r="G591" s="6" t="n">
        <v>7.98</v>
      </c>
      <c r="H591" s="6" t="n">
        <v>5</v>
      </c>
      <c r="I591" s="6" t="n">
        <v>39.9</v>
      </c>
      <c r="J591" s="6" t="n">
        <v>34.9</v>
      </c>
    </row>
    <row collapsed="false" customFormat="false" customHeight="false" hidden="false" ht="12.1" outlineLevel="0" r="592">
      <c r="A592" s="39" t="n">
        <v>46884</v>
      </c>
      <c r="B592" s="16" t="s">
        <v>887</v>
      </c>
      <c r="C592" s="16" t="s">
        <v>189</v>
      </c>
      <c r="D592" s="16" t="s">
        <v>190</v>
      </c>
      <c r="E592" s="6" t="n">
        <v>1000</v>
      </c>
      <c r="F592" s="7" t="n">
        <v>5</v>
      </c>
      <c r="G592" s="6" t="n">
        <v>19.73</v>
      </c>
      <c r="H592" s="6" t="n">
        <v>13</v>
      </c>
      <c r="I592" s="6" t="n">
        <v>98.65</v>
      </c>
      <c r="J592" s="6" t="n">
        <v>85.65</v>
      </c>
    </row>
    <row collapsed="false" customFormat="false" customHeight="false" hidden="false" ht="12.1" outlineLevel="0" r="593">
      <c r="A593" s="39" t="n">
        <v>46889</v>
      </c>
      <c r="B593" s="16" t="s">
        <v>887</v>
      </c>
      <c r="C593" s="16" t="s">
        <v>192</v>
      </c>
      <c r="D593" s="16" t="s">
        <v>193</v>
      </c>
      <c r="E593" s="6" t="n">
        <v>1000</v>
      </c>
      <c r="F593" s="7" t="n">
        <v>5</v>
      </c>
      <c r="G593" s="6" t="n">
        <v>52.36</v>
      </c>
      <c r="H593" s="6" t="n">
        <v>34</v>
      </c>
      <c r="I593" s="6" t="n">
        <v>261.8</v>
      </c>
      <c r="J593" s="6" t="n">
        <v>227.8</v>
      </c>
    </row>
    <row collapsed="false" customFormat="false" customHeight="false" hidden="false" ht="12.1" outlineLevel="0" r="594">
      <c r="A594" s="39" t="n">
        <v>46889</v>
      </c>
      <c r="B594" s="16" t="s">
        <v>887</v>
      </c>
      <c r="C594" s="16" t="s">
        <v>186</v>
      </c>
      <c r="D594" s="16" t="s">
        <v>187</v>
      </c>
      <c r="E594" s="6" t="n">
        <v>1000</v>
      </c>
      <c r="F594" s="7" t="n">
        <v>10</v>
      </c>
      <c r="G594" s="6" t="n">
        <v>28.42</v>
      </c>
      <c r="H594" s="6" t="n">
        <v>37</v>
      </c>
      <c r="I594" s="6" t="n">
        <v>284.2</v>
      </c>
      <c r="J594" s="6" t="n">
        <v>247.2</v>
      </c>
    </row>
    <row collapsed="false" customFormat="false" customHeight="false" hidden="false" ht="12.1" outlineLevel="0" r="595">
      <c r="A595" s="39" t="n">
        <v>46892</v>
      </c>
      <c r="B595" s="16" t="s">
        <v>887</v>
      </c>
      <c r="C595" s="16" t="s">
        <v>240</v>
      </c>
      <c r="D595" s="16" t="s">
        <v>241</v>
      </c>
      <c r="E595" s="6" t="n">
        <v>0</v>
      </c>
      <c r="F595" s="7" t="n">
        <v>-2</v>
      </c>
      <c r="G595" s="6" t="n">
        <v>8.22</v>
      </c>
      <c r="H595" s="6" t="n">
        <v>-2</v>
      </c>
      <c r="I595" s="6" t="n">
        <v>-16.44</v>
      </c>
      <c r="J595" s="6" t="n">
        <v>-14.44</v>
      </c>
    </row>
    <row collapsed="false" customFormat="false" customHeight="false" hidden="false" ht="12.1" outlineLevel="0" r="596">
      <c r="A596" s="39" t="n">
        <v>46896</v>
      </c>
      <c r="B596" s="16" t="s">
        <v>887</v>
      </c>
      <c r="C596" s="16" t="s">
        <v>159</v>
      </c>
      <c r="D596" s="16" t="s">
        <v>160</v>
      </c>
      <c r="E596" s="6" t="n">
        <v>1000</v>
      </c>
      <c r="F596" s="7" t="n">
        <v>34</v>
      </c>
      <c r="G596" s="6" t="n">
        <v>47.37</v>
      </c>
      <c r="H596" s="6" t="n">
        <v>209</v>
      </c>
      <c r="I596" s="6" t="n">
        <v>1610.58</v>
      </c>
      <c r="J596" s="6" t="n">
        <v>1401.58</v>
      </c>
    </row>
    <row collapsed="false" customFormat="false" customHeight="false" hidden="false" ht="12.1" outlineLevel="0" r="597">
      <c r="A597" s="39" t="n">
        <v>46896</v>
      </c>
      <c r="B597" s="16" t="s">
        <v>887</v>
      </c>
      <c r="C597" s="16" t="s">
        <v>168</v>
      </c>
      <c r="D597" s="16" t="s">
        <v>169</v>
      </c>
      <c r="E597" s="6" t="n">
        <v>1000</v>
      </c>
      <c r="F597" s="7" t="n">
        <v>20</v>
      </c>
      <c r="G597" s="6" t="n">
        <v>61.08</v>
      </c>
      <c r="H597" s="6" t="n">
        <v>159</v>
      </c>
      <c r="I597" s="6" t="n">
        <v>1221.6</v>
      </c>
      <c r="J597" s="6" t="n">
        <v>1062.6</v>
      </c>
    </row>
    <row collapsed="false" customFormat="false" customHeight="false" hidden="false" ht="12.1" outlineLevel="0" r="598">
      <c r="A598" s="39" t="n">
        <v>46903</v>
      </c>
      <c r="B598" s="16" t="s">
        <v>887</v>
      </c>
      <c r="C598" s="16" t="s">
        <v>134</v>
      </c>
      <c r="D598" s="16" t="s">
        <v>136</v>
      </c>
      <c r="E598" s="6" t="n">
        <v>1000</v>
      </c>
      <c r="F598" s="7" t="n">
        <v>88</v>
      </c>
      <c r="G598" s="6" t="n">
        <v>35.4</v>
      </c>
      <c r="H598" s="6" t="n">
        <v>405</v>
      </c>
      <c r="I598" s="6" t="n">
        <v>3115.2</v>
      </c>
      <c r="J598" s="6" t="n">
        <v>2710.2</v>
      </c>
    </row>
    <row collapsed="false" customFormat="false" customHeight="false" hidden="false" ht="12.1" outlineLevel="0" r="599">
      <c r="A599" s="39" t="n">
        <v>46903</v>
      </c>
      <c r="B599" s="16" t="s">
        <v>887</v>
      </c>
      <c r="C599" s="16" t="s">
        <v>141</v>
      </c>
      <c r="D599" s="16" t="s">
        <v>142</v>
      </c>
      <c r="E599" s="6" t="n">
        <v>1000</v>
      </c>
      <c r="F599" s="7" t="n">
        <v>53</v>
      </c>
      <c r="G599" s="6" t="n">
        <v>48.87</v>
      </c>
      <c r="H599" s="6" t="n">
        <v>337</v>
      </c>
      <c r="I599" s="6" t="n">
        <v>2590.11</v>
      </c>
      <c r="J599" s="6" t="n">
        <v>2253.11</v>
      </c>
    </row>
    <row collapsed="false" customFormat="false" customHeight="false" hidden="false" ht="12.1" outlineLevel="0" r="600">
      <c r="A600" s="39" t="n">
        <v>46903</v>
      </c>
      <c r="B600" s="16" t="s">
        <v>887</v>
      </c>
      <c r="C600" s="16" t="s">
        <v>165</v>
      </c>
      <c r="D600" s="16" t="s">
        <v>166</v>
      </c>
      <c r="E600" s="6" t="n">
        <v>1000</v>
      </c>
      <c r="F600" s="7" t="n">
        <v>20</v>
      </c>
      <c r="G600" s="6" t="n">
        <v>61.08</v>
      </c>
      <c r="H600" s="6" t="n">
        <v>159</v>
      </c>
      <c r="I600" s="6" t="n">
        <v>1221.6</v>
      </c>
      <c r="J600" s="6" t="n">
        <v>1062.6</v>
      </c>
    </row>
    <row collapsed="false" customFormat="false" customHeight="false" hidden="false" ht="12.1" outlineLevel="0" r="601">
      <c r="A601" s="39" t="n">
        <v>46910</v>
      </c>
      <c r="B601" s="16" t="s">
        <v>887</v>
      </c>
      <c r="C601" s="16" t="s">
        <v>234</v>
      </c>
      <c r="D601" s="16" t="s">
        <v>235</v>
      </c>
      <c r="E601" s="6" t="n">
        <v>552.59</v>
      </c>
      <c r="F601" s="7" t="n">
        <v>1</v>
      </c>
      <c r="G601" s="6" t="n">
        <v>20.06</v>
      </c>
      <c r="H601" s="6" t="n">
        <v>3</v>
      </c>
      <c r="I601" s="6" t="n">
        <v>20.06</v>
      </c>
      <c r="J601" s="6" t="n">
        <v>17.06</v>
      </c>
    </row>
    <row collapsed="false" customFormat="false" customHeight="false" hidden="false" ht="12.1" outlineLevel="0" r="602">
      <c r="A602" s="39" t="n">
        <v>46912</v>
      </c>
      <c r="B602" s="16" t="s">
        <v>887</v>
      </c>
      <c r="C602" s="16" t="s">
        <v>171</v>
      </c>
      <c r="D602" s="16" t="s">
        <v>172</v>
      </c>
      <c r="E602" s="6" t="n">
        <v>1000</v>
      </c>
      <c r="F602" s="7" t="n">
        <v>20</v>
      </c>
      <c r="G602" s="6" t="n">
        <v>17.83</v>
      </c>
      <c r="H602" s="6" t="n">
        <v>46</v>
      </c>
      <c r="I602" s="6" t="n">
        <v>356.6</v>
      </c>
      <c r="J602" s="6" t="n">
        <v>310.6</v>
      </c>
    </row>
    <row collapsed="false" customFormat="false" customHeight="false" hidden="false" ht="12.1" outlineLevel="0" r="603">
      <c r="A603" s="39" t="n">
        <v>46914</v>
      </c>
      <c r="B603" s="16" t="s">
        <v>887</v>
      </c>
      <c r="C603" s="16" t="s">
        <v>189</v>
      </c>
      <c r="D603" s="16" t="s">
        <v>190</v>
      </c>
      <c r="E603" s="6" t="n">
        <v>1000</v>
      </c>
      <c r="F603" s="7" t="n">
        <v>5</v>
      </c>
      <c r="G603" s="6" t="n">
        <v>19.73</v>
      </c>
      <c r="H603" s="6" t="n">
        <v>13</v>
      </c>
      <c r="I603" s="6" t="n">
        <v>98.65</v>
      </c>
      <c r="J603" s="6" t="n">
        <v>85.65</v>
      </c>
    </row>
    <row collapsed="false" customFormat="false" customHeight="false" hidden="false" ht="12.1" outlineLevel="0" r="604">
      <c r="A604" s="39" t="n">
        <v>46922</v>
      </c>
      <c r="B604" s="16" t="s">
        <v>887</v>
      </c>
      <c r="C604" s="16" t="s">
        <v>240</v>
      </c>
      <c r="D604" s="16" t="s">
        <v>241</v>
      </c>
      <c r="E604" s="6" t="n">
        <v>0</v>
      </c>
      <c r="F604" s="7" t="n">
        <v>-2</v>
      </c>
      <c r="G604" s="6" t="n">
        <v>8.22</v>
      </c>
      <c r="H604" s="6" t="n">
        <v>-2</v>
      </c>
      <c r="I604" s="6" t="n">
        <v>-16.44</v>
      </c>
      <c r="J604" s="6" t="n">
        <v>-14.44</v>
      </c>
    </row>
    <row collapsed="false" customFormat="false" customHeight="false" hidden="false" ht="12.1" outlineLevel="0" r="605">
      <c r="A605" s="39" t="n">
        <v>46944</v>
      </c>
      <c r="B605" s="16" t="s">
        <v>887</v>
      </c>
      <c r="C605" s="16" t="s">
        <v>189</v>
      </c>
      <c r="D605" s="16" t="s">
        <v>190</v>
      </c>
      <c r="E605" s="6" t="n">
        <v>1000</v>
      </c>
      <c r="F605" s="7" t="n">
        <v>5</v>
      </c>
      <c r="G605" s="6" t="n">
        <v>19.73</v>
      </c>
      <c r="H605" s="6" t="n">
        <v>13</v>
      </c>
      <c r="I605" s="6" t="n">
        <v>98.65</v>
      </c>
      <c r="J605" s="6" t="n">
        <v>85.65</v>
      </c>
    </row>
    <row collapsed="false" customFormat="false" customHeight="false" hidden="false" ht="12.1" outlineLevel="0" r="606">
      <c r="A606" s="39" t="n">
        <v>46952</v>
      </c>
      <c r="B606" s="16" t="s">
        <v>887</v>
      </c>
      <c r="C606" s="16" t="s">
        <v>240</v>
      </c>
      <c r="D606" s="16" t="s">
        <v>241</v>
      </c>
      <c r="E606" s="6" t="n">
        <v>0</v>
      </c>
      <c r="F606" s="7" t="n">
        <v>-2</v>
      </c>
      <c r="G606" s="6" t="n">
        <v>8.22</v>
      </c>
      <c r="H606" s="6" t="n">
        <v>-2</v>
      </c>
      <c r="I606" s="6" t="n">
        <v>-16.44</v>
      </c>
      <c r="J606" s="6" t="n">
        <v>-14.44</v>
      </c>
    </row>
    <row collapsed="false" customFormat="false" customHeight="false" hidden="false" ht="12.1" outlineLevel="0" r="607">
      <c r="A607" s="39" t="n">
        <v>46953</v>
      </c>
      <c r="B607" s="16" t="s">
        <v>887</v>
      </c>
      <c r="C607" s="16" t="s">
        <v>180</v>
      </c>
      <c r="D607" s="16" t="s">
        <v>181</v>
      </c>
      <c r="E607" s="6" t="n">
        <v>1000</v>
      </c>
      <c r="F607" s="7" t="n">
        <v>12</v>
      </c>
      <c r="G607" s="6" t="n">
        <v>16.83</v>
      </c>
      <c r="H607" s="6" t="n">
        <v>26</v>
      </c>
      <c r="I607" s="6" t="n">
        <v>201.96</v>
      </c>
      <c r="J607" s="6" t="n">
        <v>175.96</v>
      </c>
    </row>
    <row collapsed="false" customFormat="false" customHeight="false" hidden="false" ht="12.1" outlineLevel="0" r="608">
      <c r="A608" s="39" t="n">
        <v>46973</v>
      </c>
      <c r="B608" s="16" t="s">
        <v>887</v>
      </c>
      <c r="C608" s="16" t="s">
        <v>138</v>
      </c>
      <c r="D608" s="16" t="s">
        <v>139</v>
      </c>
      <c r="E608" s="6" t="n">
        <v>1000</v>
      </c>
      <c r="F608" s="7" t="n">
        <v>80</v>
      </c>
      <c r="G608" s="6" t="n">
        <v>34.9</v>
      </c>
      <c r="H608" s="6" t="n">
        <v>363</v>
      </c>
      <c r="I608" s="6" t="n">
        <v>2792</v>
      </c>
      <c r="J608" s="6" t="n">
        <v>2429</v>
      </c>
    </row>
    <row collapsed="false" customFormat="false" customHeight="false" hidden="false" ht="12.1" outlineLevel="0" r="609">
      <c r="A609" s="39" t="n">
        <v>46974</v>
      </c>
      <c r="B609" s="16" t="s">
        <v>887</v>
      </c>
      <c r="C609" s="16" t="s">
        <v>219</v>
      </c>
      <c r="D609" s="16" t="s">
        <v>220</v>
      </c>
      <c r="E609" s="6" t="n">
        <v>600</v>
      </c>
      <c r="F609" s="7" t="n">
        <v>5</v>
      </c>
      <c r="G609" s="6" t="n">
        <v>7.98</v>
      </c>
      <c r="H609" s="6" t="n">
        <v>5</v>
      </c>
      <c r="I609" s="6" t="n">
        <v>39.9</v>
      </c>
      <c r="J609" s="6" t="n">
        <v>34.9</v>
      </c>
    </row>
    <row collapsed="false" customFormat="false" customHeight="false" hidden="false" ht="12.1" outlineLevel="0" r="610">
      <c r="A610" s="39" t="n">
        <v>46974</v>
      </c>
      <c r="B610" s="16" t="s">
        <v>887</v>
      </c>
      <c r="C610" s="16" t="s">
        <v>189</v>
      </c>
      <c r="D610" s="16" t="s">
        <v>190</v>
      </c>
      <c r="E610" s="6" t="n">
        <v>1000</v>
      </c>
      <c r="F610" s="7" t="n">
        <v>5</v>
      </c>
      <c r="G610" s="6" t="n">
        <v>19.73</v>
      </c>
      <c r="H610" s="6" t="n">
        <v>13</v>
      </c>
      <c r="I610" s="6" t="n">
        <v>98.65</v>
      </c>
      <c r="J610" s="6" t="n">
        <v>85.65</v>
      </c>
    </row>
    <row collapsed="false" customFormat="false" customHeight="false" hidden="false" ht="12.1" outlineLevel="0" r="611">
      <c r="A611" s="39" t="n">
        <v>46982</v>
      </c>
      <c r="B611" s="16" t="s">
        <v>887</v>
      </c>
      <c r="C611" s="16" t="s">
        <v>240</v>
      </c>
      <c r="D611" s="16" t="s">
        <v>241</v>
      </c>
      <c r="E611" s="6" t="n">
        <v>0</v>
      </c>
      <c r="F611" s="7" t="n">
        <v>-2</v>
      </c>
      <c r="G611" s="6" t="n">
        <v>8.22</v>
      </c>
      <c r="H611" s="6" t="n">
        <v>-2</v>
      </c>
      <c r="I611" s="6" t="n">
        <v>-16.44</v>
      </c>
      <c r="J611" s="6" t="n">
        <v>-14.44</v>
      </c>
    </row>
    <row collapsed="false" customFormat="false" customHeight="false" hidden="false" ht="12.1" outlineLevel="0" r="612">
      <c r="A612" s="39" t="n">
        <v>47001</v>
      </c>
      <c r="B612" s="16" t="s">
        <v>887</v>
      </c>
      <c r="C612" s="16" t="s">
        <v>234</v>
      </c>
      <c r="D612" s="16" t="s">
        <v>235</v>
      </c>
      <c r="E612" s="6" t="n">
        <v>552.59</v>
      </c>
      <c r="F612" s="7" t="n">
        <v>1</v>
      </c>
      <c r="G612" s="6" t="n">
        <v>18.66</v>
      </c>
      <c r="H612" s="6" t="n">
        <v>2</v>
      </c>
      <c r="I612" s="6" t="n">
        <v>18.66</v>
      </c>
      <c r="J612" s="6" t="n">
        <v>16.66</v>
      </c>
    </row>
    <row collapsed="false" customFormat="false" customHeight="false" hidden="false" ht="12.1" outlineLevel="0" r="613">
      <c r="A613" s="39" t="n">
        <v>47003</v>
      </c>
      <c r="B613" s="16" t="s">
        <v>887</v>
      </c>
      <c r="C613" s="16" t="s">
        <v>171</v>
      </c>
      <c r="D613" s="16" t="s">
        <v>172</v>
      </c>
      <c r="E613" s="6" t="n">
        <v>1000</v>
      </c>
      <c r="F613" s="7" t="n">
        <v>20</v>
      </c>
      <c r="G613" s="6" t="n">
        <v>17.83</v>
      </c>
      <c r="H613" s="6" t="n">
        <v>46</v>
      </c>
      <c r="I613" s="6" t="n">
        <v>356.6</v>
      </c>
      <c r="J613" s="6" t="n">
        <v>310.6</v>
      </c>
    </row>
    <row collapsed="false" customFormat="false" customHeight="false" hidden="false" ht="12.1" outlineLevel="0" r="614">
      <c r="A614" s="39" t="n">
        <v>47004</v>
      </c>
      <c r="B614" s="16" t="s">
        <v>887</v>
      </c>
      <c r="C614" s="16" t="s">
        <v>189</v>
      </c>
      <c r="D614" s="16" t="s">
        <v>190</v>
      </c>
      <c r="E614" s="6" t="n">
        <v>1000</v>
      </c>
      <c r="F614" s="7" t="n">
        <v>5</v>
      </c>
      <c r="G614" s="6" t="n">
        <v>19.73</v>
      </c>
      <c r="H614" s="6" t="n">
        <v>13</v>
      </c>
      <c r="I614" s="6" t="n">
        <v>98.65</v>
      </c>
      <c r="J614" s="6" t="n">
        <v>85.65</v>
      </c>
    </row>
    <row collapsed="false" customFormat="false" customHeight="false" hidden="false" ht="12.1" outlineLevel="0" r="615">
      <c r="A615" s="39" t="n">
        <v>47008</v>
      </c>
      <c r="B615" s="16" t="s">
        <v>887</v>
      </c>
      <c r="C615" s="16" t="s">
        <v>156</v>
      </c>
      <c r="D615" s="16" t="s">
        <v>157</v>
      </c>
      <c r="E615" s="6" t="n">
        <v>1000</v>
      </c>
      <c r="F615" s="7" t="n">
        <v>34</v>
      </c>
      <c r="G615" s="6" t="n">
        <v>33.41</v>
      </c>
      <c r="H615" s="6" t="n">
        <v>148</v>
      </c>
      <c r="I615" s="6" t="n">
        <v>1135.94</v>
      </c>
      <c r="J615" s="6" t="n">
        <v>987.94</v>
      </c>
    </row>
    <row collapsed="false" customFormat="false" customHeight="false" hidden="false" ht="12.1" outlineLevel="0" r="616">
      <c r="A616" s="39" t="n">
        <v>47012</v>
      </c>
      <c r="B616" s="16" t="s">
        <v>887</v>
      </c>
      <c r="C616" s="16" t="s">
        <v>240</v>
      </c>
      <c r="D616" s="16" t="s">
        <v>241</v>
      </c>
      <c r="E616" s="6" t="n">
        <v>0</v>
      </c>
      <c r="F616" s="7" t="n">
        <v>-2</v>
      </c>
      <c r="G616" s="6" t="n">
        <v>8.22</v>
      </c>
      <c r="H616" s="6" t="n">
        <v>-2</v>
      </c>
      <c r="I616" s="6" t="n">
        <v>-16.44</v>
      </c>
      <c r="J616" s="6" t="n">
        <v>-14.44</v>
      </c>
    </row>
    <row collapsed="false" customFormat="false" customHeight="false" hidden="false" ht="12.1" outlineLevel="0" r="617">
      <c r="A617" s="39" t="n">
        <v>47015</v>
      </c>
      <c r="B617" s="16" t="s">
        <v>887</v>
      </c>
      <c r="C617" s="16" t="s">
        <v>153</v>
      </c>
      <c r="D617" s="16" t="s">
        <v>154</v>
      </c>
      <c r="E617" s="6" t="n">
        <v>1000</v>
      </c>
      <c r="F617" s="7" t="n">
        <v>34</v>
      </c>
      <c r="G617" s="6" t="n">
        <v>59.84</v>
      </c>
      <c r="H617" s="6" t="n">
        <v>264</v>
      </c>
      <c r="I617" s="6" t="n">
        <v>2034.56</v>
      </c>
      <c r="J617" s="6" t="n">
        <v>1770.56</v>
      </c>
    </row>
    <row collapsed="false" customFormat="false" customHeight="false" hidden="false" ht="12.1" outlineLevel="0" r="618">
      <c r="A618" s="39" t="n">
        <v>47015</v>
      </c>
      <c r="B618" s="16" t="s">
        <v>887</v>
      </c>
      <c r="C618" s="16" t="s">
        <v>144</v>
      </c>
      <c r="D618" s="16" t="s">
        <v>145</v>
      </c>
      <c r="E618" s="6" t="n">
        <v>1000</v>
      </c>
      <c r="F618" s="7" t="n">
        <v>40</v>
      </c>
      <c r="G618" s="6" t="n">
        <v>56.1</v>
      </c>
      <c r="H618" s="6" t="n">
        <v>292</v>
      </c>
      <c r="I618" s="6" t="n">
        <v>2244</v>
      </c>
      <c r="J618" s="6" t="n">
        <v>1952</v>
      </c>
    </row>
    <row collapsed="false" customFormat="false" customHeight="false" hidden="false" ht="12.1" outlineLevel="0" r="619">
      <c r="A619" s="39" t="n">
        <v>47022</v>
      </c>
      <c r="B619" s="16" t="s">
        <v>887</v>
      </c>
      <c r="C619" s="16" t="s">
        <v>150</v>
      </c>
      <c r="D619" s="16" t="s">
        <v>151</v>
      </c>
      <c r="E619" s="6" t="n">
        <v>1000</v>
      </c>
      <c r="F619" s="7" t="n">
        <v>45</v>
      </c>
      <c r="G619" s="6" t="n">
        <v>38.39</v>
      </c>
      <c r="H619" s="6" t="n">
        <v>225</v>
      </c>
      <c r="I619" s="6" t="n">
        <v>1727.55</v>
      </c>
      <c r="J619" s="6" t="n">
        <v>1502.55</v>
      </c>
    </row>
    <row collapsed="false" customFormat="false" customHeight="false" hidden="false" ht="12.1" outlineLevel="0" r="620">
      <c r="A620" s="39" t="n">
        <v>47034</v>
      </c>
      <c r="B620" s="16" t="s">
        <v>887</v>
      </c>
      <c r="C620" s="16" t="s">
        <v>189</v>
      </c>
      <c r="D620" s="16" t="s">
        <v>190</v>
      </c>
      <c r="E620" s="6" t="n">
        <v>1000</v>
      </c>
      <c r="F620" s="7" t="n">
        <v>5</v>
      </c>
      <c r="G620" s="6" t="n">
        <v>19.73</v>
      </c>
      <c r="H620" s="6" t="n">
        <v>13</v>
      </c>
      <c r="I620" s="6" t="n">
        <v>98.65</v>
      </c>
      <c r="J620" s="6" t="n">
        <v>85.65</v>
      </c>
    </row>
    <row collapsed="false" customFormat="false" customHeight="false" hidden="false" ht="12.1" outlineLevel="0" r="621">
      <c r="A621" s="39" t="n">
        <v>47042</v>
      </c>
      <c r="B621" s="16" t="s">
        <v>887</v>
      </c>
      <c r="C621" s="16" t="s">
        <v>240</v>
      </c>
      <c r="D621" s="16" t="s">
        <v>241</v>
      </c>
      <c r="E621" s="6" t="n">
        <v>0</v>
      </c>
      <c r="F621" s="7" t="n">
        <v>-2</v>
      </c>
      <c r="G621" s="6" t="n">
        <v>8.22</v>
      </c>
      <c r="H621" s="6" t="n">
        <v>-2</v>
      </c>
      <c r="I621" s="6" t="n">
        <v>-16.44</v>
      </c>
      <c r="J621" s="6" t="n">
        <v>-14.44</v>
      </c>
    </row>
    <row collapsed="false" customFormat="false" customHeight="false" hidden="false" ht="12.1" outlineLevel="0" r="622">
      <c r="A622" s="39" t="n">
        <v>47043</v>
      </c>
      <c r="B622" s="16" t="s">
        <v>887</v>
      </c>
      <c r="C622" s="16" t="s">
        <v>183</v>
      </c>
      <c r="D622" s="16" t="s">
        <v>184</v>
      </c>
      <c r="E622" s="6" t="n">
        <v>1000</v>
      </c>
      <c r="F622" s="7" t="n">
        <v>9</v>
      </c>
      <c r="G622" s="6" t="n">
        <v>64.82</v>
      </c>
      <c r="H622" s="6" t="n">
        <v>76</v>
      </c>
      <c r="I622" s="6" t="n">
        <v>583.38</v>
      </c>
      <c r="J622" s="6" t="n">
        <v>507.38</v>
      </c>
    </row>
    <row collapsed="false" customFormat="false" customHeight="false" hidden="false" ht="12.1" outlineLevel="0" r="623">
      <c r="A623" s="39" t="n">
        <v>47044</v>
      </c>
      <c r="B623" s="16" t="s">
        <v>887</v>
      </c>
      <c r="C623" s="16" t="s">
        <v>180</v>
      </c>
      <c r="D623" s="16" t="s">
        <v>181</v>
      </c>
      <c r="E623" s="6" t="n">
        <v>1000</v>
      </c>
      <c r="F623" s="7" t="n">
        <v>12</v>
      </c>
      <c r="G623" s="6" t="n">
        <v>16.83</v>
      </c>
      <c r="H623" s="6" t="n">
        <v>26</v>
      </c>
      <c r="I623" s="6" t="n">
        <v>201.96</v>
      </c>
      <c r="J623" s="6" t="n">
        <v>175.96</v>
      </c>
    </row>
    <row collapsed="false" customFormat="false" customHeight="false" hidden="false" ht="12.1" outlineLevel="0" r="624">
      <c r="A624" s="39" t="n">
        <v>47064</v>
      </c>
      <c r="B624" s="16" t="s">
        <v>887</v>
      </c>
      <c r="C624" s="16" t="s">
        <v>189</v>
      </c>
      <c r="D624" s="16" t="s">
        <v>190</v>
      </c>
      <c r="E624" s="6" t="n">
        <v>1000</v>
      </c>
      <c r="F624" s="7" t="n">
        <v>5</v>
      </c>
      <c r="G624" s="6" t="n">
        <v>19.73</v>
      </c>
      <c r="H624" s="6" t="n">
        <v>13</v>
      </c>
      <c r="I624" s="6" t="n">
        <v>98.65</v>
      </c>
      <c r="J624" s="6" t="n">
        <v>85.65</v>
      </c>
    </row>
    <row collapsed="false" customFormat="false" customHeight="false" hidden="false" ht="12.1" outlineLevel="0" r="625">
      <c r="A625" s="39" t="n">
        <v>47072</v>
      </c>
      <c r="B625" s="16" t="s">
        <v>887</v>
      </c>
      <c r="C625" s="16" t="s">
        <v>240</v>
      </c>
      <c r="D625" s="16" t="s">
        <v>241</v>
      </c>
      <c r="E625" s="6" t="n">
        <v>0</v>
      </c>
      <c r="F625" s="7" t="n">
        <v>-2</v>
      </c>
      <c r="G625" s="6" t="n">
        <v>8.22</v>
      </c>
      <c r="H625" s="6" t="n">
        <v>-2</v>
      </c>
      <c r="I625" s="6" t="n">
        <v>-16.44</v>
      </c>
      <c r="J625" s="6" t="n">
        <v>-14.44</v>
      </c>
    </row>
    <row collapsed="false" customFormat="false" customHeight="false" hidden="false" ht="12.1" outlineLevel="0" r="626">
      <c r="A626" s="39" t="n">
        <v>47078</v>
      </c>
      <c r="B626" s="16" t="s">
        <v>887</v>
      </c>
      <c r="C626" s="16" t="s">
        <v>159</v>
      </c>
      <c r="D626" s="16" t="s">
        <v>160</v>
      </c>
      <c r="E626" s="6" t="n">
        <v>1000</v>
      </c>
      <c r="F626" s="7" t="n">
        <v>34</v>
      </c>
      <c r="G626" s="6" t="n">
        <v>47.37</v>
      </c>
      <c r="H626" s="6" t="n">
        <v>209</v>
      </c>
      <c r="I626" s="6" t="n">
        <v>1610.58</v>
      </c>
      <c r="J626" s="6" t="n">
        <v>1401.58</v>
      </c>
    </row>
    <row collapsed="false" customFormat="false" customHeight="false" hidden="false" ht="12.1" outlineLevel="0" r="627">
      <c r="A627" s="39" t="n">
        <v>47078</v>
      </c>
      <c r="B627" s="16" t="s">
        <v>887</v>
      </c>
      <c r="C627" s="16" t="s">
        <v>168</v>
      </c>
      <c r="D627" s="16" t="s">
        <v>169</v>
      </c>
      <c r="E627" s="6" t="n">
        <v>1000</v>
      </c>
      <c r="F627" s="7" t="n">
        <v>20</v>
      </c>
      <c r="G627" s="6" t="n">
        <v>61.08</v>
      </c>
      <c r="H627" s="6" t="n">
        <v>159</v>
      </c>
      <c r="I627" s="6" t="n">
        <v>1221.6</v>
      </c>
      <c r="J627" s="6" t="n">
        <v>1062.6</v>
      </c>
    </row>
    <row collapsed="false" customFormat="false" customHeight="false" hidden="false" ht="12.1" outlineLevel="0" r="628">
      <c r="A628" s="39" t="n">
        <v>47085</v>
      </c>
      <c r="B628" s="16" t="s">
        <v>887</v>
      </c>
      <c r="C628" s="16" t="s">
        <v>165</v>
      </c>
      <c r="D628" s="16" t="s">
        <v>166</v>
      </c>
      <c r="E628" s="6" t="n">
        <v>1000</v>
      </c>
      <c r="F628" s="7" t="n">
        <v>20</v>
      </c>
      <c r="G628" s="6" t="n">
        <v>61.08</v>
      </c>
      <c r="H628" s="6" t="n">
        <v>159</v>
      </c>
      <c r="I628" s="6" t="n">
        <v>1221.6</v>
      </c>
      <c r="J628" s="6" t="n">
        <v>1062.6</v>
      </c>
    </row>
    <row collapsed="false" customFormat="false" customHeight="false" hidden="false" ht="12.1" outlineLevel="0" r="629">
      <c r="A629" s="39" t="n">
        <v>47085</v>
      </c>
      <c r="B629" s="16" t="s">
        <v>887</v>
      </c>
      <c r="C629" s="16" t="s">
        <v>134</v>
      </c>
      <c r="D629" s="16" t="s">
        <v>136</v>
      </c>
      <c r="E629" s="6" t="n">
        <v>1000</v>
      </c>
      <c r="F629" s="7" t="n">
        <v>88</v>
      </c>
      <c r="G629" s="6" t="n">
        <v>35.4</v>
      </c>
      <c r="H629" s="6" t="n">
        <v>405</v>
      </c>
      <c r="I629" s="6" t="n">
        <v>3115.2</v>
      </c>
      <c r="J629" s="6" t="n">
        <v>2710.2</v>
      </c>
    </row>
    <row collapsed="false" customFormat="false" customHeight="false" hidden="false" ht="12.1" outlineLevel="0" r="630">
      <c r="A630" s="39" t="n">
        <v>47085</v>
      </c>
      <c r="B630" s="16" t="s">
        <v>887</v>
      </c>
      <c r="C630" s="16" t="s">
        <v>141</v>
      </c>
      <c r="D630" s="16" t="s">
        <v>142</v>
      </c>
      <c r="E630" s="6" t="n">
        <v>1000</v>
      </c>
      <c r="F630" s="7" t="n">
        <v>53</v>
      </c>
      <c r="G630" s="6" t="n">
        <v>48.87</v>
      </c>
      <c r="H630" s="6" t="n">
        <v>337</v>
      </c>
      <c r="I630" s="6" t="n">
        <v>2590.11</v>
      </c>
      <c r="J630" s="6" t="n">
        <v>2253.11</v>
      </c>
    </row>
    <row collapsed="false" customFormat="false" customHeight="false" hidden="false" ht="12.1" outlineLevel="0" r="631">
      <c r="A631" s="39" t="n">
        <v>47092</v>
      </c>
      <c r="B631" s="16" t="s">
        <v>887</v>
      </c>
      <c r="C631" s="16" t="s">
        <v>234</v>
      </c>
      <c r="D631" s="16" t="s">
        <v>235</v>
      </c>
      <c r="E631" s="6" t="n">
        <v>552.59</v>
      </c>
      <c r="F631" s="7" t="n">
        <v>1</v>
      </c>
      <c r="G631" s="6" t="n">
        <v>17.22</v>
      </c>
      <c r="H631" s="6" t="n">
        <v>2</v>
      </c>
      <c r="I631" s="6" t="n">
        <v>17.22</v>
      </c>
      <c r="J631" s="6" t="n">
        <v>15.22</v>
      </c>
    </row>
    <row collapsed="false" customFormat="false" customHeight="false" hidden="false" ht="12.1" outlineLevel="0" r="632">
      <c r="A632" s="39" t="n">
        <v>47094</v>
      </c>
      <c r="B632" s="16" t="s">
        <v>887</v>
      </c>
      <c r="C632" s="16" t="s">
        <v>171</v>
      </c>
      <c r="D632" s="16" t="s">
        <v>172</v>
      </c>
      <c r="E632" s="6" t="n">
        <v>1000</v>
      </c>
      <c r="F632" s="7" t="n">
        <v>20</v>
      </c>
      <c r="G632" s="6" t="n">
        <v>17.83</v>
      </c>
      <c r="H632" s="6" t="n">
        <v>46</v>
      </c>
      <c r="I632" s="6" t="n">
        <v>356.6</v>
      </c>
      <c r="J632" s="6" t="n">
        <v>310.6</v>
      </c>
    </row>
    <row collapsed="false" customFormat="false" customHeight="false" hidden="false" ht="12.1" outlineLevel="0" r="633">
      <c r="A633" s="39" t="n">
        <v>47094</v>
      </c>
      <c r="B633" s="16" t="s">
        <v>887</v>
      </c>
      <c r="C633" s="16" t="s">
        <v>189</v>
      </c>
      <c r="D633" s="16" t="s">
        <v>190</v>
      </c>
      <c r="E633" s="6" t="n">
        <v>1000</v>
      </c>
      <c r="F633" s="7" t="n">
        <v>5</v>
      </c>
      <c r="G633" s="6" t="n">
        <v>19.73</v>
      </c>
      <c r="H633" s="6" t="n">
        <v>13</v>
      </c>
      <c r="I633" s="6" t="n">
        <v>98.65</v>
      </c>
      <c r="J633" s="6" t="n">
        <v>85.65</v>
      </c>
    </row>
    <row collapsed="false" customFormat="false" customHeight="false" hidden="false" ht="12.1" outlineLevel="0" r="634">
      <c r="A634" s="39" t="n">
        <v>47102</v>
      </c>
      <c r="B634" s="16" t="s">
        <v>887</v>
      </c>
      <c r="C634" s="16" t="s">
        <v>240</v>
      </c>
      <c r="D634" s="16" t="s">
        <v>241</v>
      </c>
      <c r="E634" s="6" t="n">
        <v>0</v>
      </c>
      <c r="F634" s="7" t="n">
        <v>-2</v>
      </c>
      <c r="G634" s="6" t="n">
        <v>8.22</v>
      </c>
      <c r="H634" s="6" t="n">
        <v>-2</v>
      </c>
      <c r="I634" s="6" t="n">
        <v>-16.44</v>
      </c>
      <c r="J634" s="6" t="n">
        <v>-14.44</v>
      </c>
    </row>
    <row collapsed="false" customFormat="false" customHeight="false" hidden="false" ht="12.1" outlineLevel="0" r="635">
      <c r="A635" s="39" t="n">
        <v>47124</v>
      </c>
      <c r="B635" s="16" t="s">
        <v>887</v>
      </c>
      <c r="C635" s="16" t="s">
        <v>189</v>
      </c>
      <c r="D635" s="16" t="s">
        <v>190</v>
      </c>
      <c r="E635" s="6" t="n">
        <v>1000</v>
      </c>
      <c r="F635" s="7" t="n">
        <v>5</v>
      </c>
      <c r="G635" s="6" t="n">
        <v>19.73</v>
      </c>
      <c r="H635" s="6" t="n">
        <v>13</v>
      </c>
      <c r="I635" s="6" t="n">
        <v>98.65</v>
      </c>
      <c r="J635" s="6" t="n">
        <v>85.65</v>
      </c>
    </row>
    <row collapsed="false" customFormat="false" customHeight="false" hidden="false" ht="12.1" outlineLevel="0" r="636">
      <c r="A636" s="39" t="n">
        <v>47132</v>
      </c>
      <c r="B636" s="16" t="s">
        <v>887</v>
      </c>
      <c r="C636" s="16" t="s">
        <v>240</v>
      </c>
      <c r="D636" s="16" t="s">
        <v>241</v>
      </c>
      <c r="E636" s="6" t="n">
        <v>0</v>
      </c>
      <c r="F636" s="7" t="n">
        <v>-2</v>
      </c>
      <c r="G636" s="6" t="n">
        <v>8.22</v>
      </c>
      <c r="H636" s="6" t="n">
        <v>-2</v>
      </c>
      <c r="I636" s="6" t="n">
        <v>-16.44</v>
      </c>
      <c r="J636" s="6" t="n">
        <v>-14.44</v>
      </c>
    </row>
    <row collapsed="false" customFormat="false" customHeight="false" hidden="false" ht="12.1" outlineLevel="0" r="637">
      <c r="A637" s="39" t="n">
        <v>47135</v>
      </c>
      <c r="B637" s="16" t="s">
        <v>887</v>
      </c>
      <c r="C637" s="16" t="s">
        <v>180</v>
      </c>
      <c r="D637" s="16" t="s">
        <v>181</v>
      </c>
      <c r="E637" s="6" t="n">
        <v>1000</v>
      </c>
      <c r="F637" s="7" t="n">
        <v>12</v>
      </c>
      <c r="G637" s="6" t="n">
        <v>16.83</v>
      </c>
      <c r="H637" s="6" t="n">
        <v>26</v>
      </c>
      <c r="I637" s="6" t="n">
        <v>201.96</v>
      </c>
      <c r="J637" s="6" t="n">
        <v>175.96</v>
      </c>
    </row>
    <row collapsed="false" customFormat="false" customHeight="false" hidden="false" ht="12.1" outlineLevel="0" r="638">
      <c r="A638" s="39" t="n">
        <v>47154</v>
      </c>
      <c r="B638" s="16" t="s">
        <v>887</v>
      </c>
      <c r="C638" s="16" t="s">
        <v>189</v>
      </c>
      <c r="D638" s="16" t="s">
        <v>190</v>
      </c>
      <c r="E638" s="6" t="n">
        <v>1000</v>
      </c>
      <c r="F638" s="7" t="n">
        <v>5</v>
      </c>
      <c r="G638" s="6" t="n">
        <v>19.73</v>
      </c>
      <c r="H638" s="6" t="n">
        <v>13</v>
      </c>
      <c r="I638" s="6" t="n">
        <v>98.65</v>
      </c>
      <c r="J638" s="6" t="n">
        <v>85.65</v>
      </c>
    </row>
    <row collapsed="false" customFormat="false" customHeight="false" hidden="false" ht="12.1" outlineLevel="0" r="639">
      <c r="A639" s="39" t="n">
        <v>47155</v>
      </c>
      <c r="B639" s="16" t="s">
        <v>887</v>
      </c>
      <c r="C639" s="16" t="s">
        <v>138</v>
      </c>
      <c r="D639" s="16" t="s">
        <v>139</v>
      </c>
      <c r="E639" s="6" t="n">
        <v>1000</v>
      </c>
      <c r="F639" s="7" t="n">
        <v>80</v>
      </c>
      <c r="G639" s="6" t="n">
        <v>34.9</v>
      </c>
      <c r="H639" s="6" t="n">
        <v>363</v>
      </c>
      <c r="I639" s="6" t="n">
        <v>2792</v>
      </c>
      <c r="J639" s="6" t="n">
        <v>2429</v>
      </c>
    </row>
    <row collapsed="false" customFormat="false" customHeight="false" hidden="false" ht="12.1" outlineLevel="0" r="640">
      <c r="A640" s="39" t="n">
        <v>47162</v>
      </c>
      <c r="B640" s="16" t="s">
        <v>887</v>
      </c>
      <c r="C640" s="16" t="s">
        <v>240</v>
      </c>
      <c r="D640" s="16" t="s">
        <v>241</v>
      </c>
      <c r="E640" s="6" t="n">
        <v>0</v>
      </c>
      <c r="F640" s="7" t="n">
        <v>-2</v>
      </c>
      <c r="G640" s="6" t="n">
        <v>8.22</v>
      </c>
      <c r="H640" s="6" t="n">
        <v>-2</v>
      </c>
      <c r="I640" s="6" t="n">
        <v>-16.44</v>
      </c>
      <c r="J640" s="6" t="n">
        <v>-14.44</v>
      </c>
    </row>
    <row collapsed="false" customFormat="false" customHeight="false" hidden="false" ht="12.1" outlineLevel="0" r="641">
      <c r="A641" s="39" t="n">
        <v>47183</v>
      </c>
      <c r="B641" s="16" t="s">
        <v>887</v>
      </c>
      <c r="C641" s="16" t="s">
        <v>234</v>
      </c>
      <c r="D641" s="16" t="s">
        <v>235</v>
      </c>
      <c r="E641" s="6" t="n">
        <v>552.59</v>
      </c>
      <c r="F641" s="7" t="n">
        <v>1</v>
      </c>
      <c r="G641" s="6" t="n">
        <v>15.72</v>
      </c>
      <c r="H641" s="6" t="n">
        <v>2</v>
      </c>
      <c r="I641" s="6" t="n">
        <v>15.72</v>
      </c>
      <c r="J641" s="6" t="n">
        <v>13.72</v>
      </c>
    </row>
    <row collapsed="false" customFormat="false" customHeight="false" hidden="false" ht="12.1" outlineLevel="0" r="642">
      <c r="A642" s="39" t="n">
        <v>47184</v>
      </c>
      <c r="B642" s="16" t="s">
        <v>887</v>
      </c>
      <c r="C642" s="16" t="s">
        <v>189</v>
      </c>
      <c r="D642" s="16" t="s">
        <v>190</v>
      </c>
      <c r="E642" s="6" t="n">
        <v>1000</v>
      </c>
      <c r="F642" s="7" t="n">
        <v>5</v>
      </c>
      <c r="G642" s="6" t="n">
        <v>19.73</v>
      </c>
      <c r="H642" s="6" t="n">
        <v>13</v>
      </c>
      <c r="I642" s="6" t="n">
        <v>98.65</v>
      </c>
      <c r="J642" s="6" t="n">
        <v>85.65</v>
      </c>
    </row>
    <row collapsed="false" customFormat="false" customHeight="false" hidden="false" ht="12.1" outlineLevel="0" r="643">
      <c r="A643" s="39" t="n">
        <v>47185</v>
      </c>
      <c r="B643" s="16" t="s">
        <v>887</v>
      </c>
      <c r="C643" s="16" t="s">
        <v>171</v>
      </c>
      <c r="D643" s="16" t="s">
        <v>172</v>
      </c>
      <c r="E643" s="6" t="n">
        <v>1000</v>
      </c>
      <c r="F643" s="7" t="n">
        <v>20</v>
      </c>
      <c r="G643" s="6" t="n">
        <v>17.83</v>
      </c>
      <c r="H643" s="6" t="n">
        <v>46</v>
      </c>
      <c r="I643" s="6" t="n">
        <v>356.6</v>
      </c>
      <c r="J643" s="6" t="n">
        <v>310.6</v>
      </c>
    </row>
    <row collapsed="false" customFormat="false" customHeight="false" hidden="false" ht="12.1" outlineLevel="0" r="644">
      <c r="A644" s="39" t="n">
        <v>47190</v>
      </c>
      <c r="B644" s="16" t="s">
        <v>887</v>
      </c>
      <c r="C644" s="16" t="s">
        <v>156</v>
      </c>
      <c r="D644" s="16" t="s">
        <v>157</v>
      </c>
      <c r="E644" s="6" t="n">
        <v>1000</v>
      </c>
      <c r="F644" s="7" t="n">
        <v>34</v>
      </c>
      <c r="G644" s="6" t="n">
        <v>33.41</v>
      </c>
      <c r="H644" s="6" t="n">
        <v>148</v>
      </c>
      <c r="I644" s="6" t="n">
        <v>1135.94</v>
      </c>
      <c r="J644" s="6" t="n">
        <v>987.94</v>
      </c>
    </row>
    <row collapsed="false" customFormat="false" customHeight="false" hidden="false" ht="12.1" outlineLevel="0" r="645">
      <c r="A645" s="39" t="n">
        <v>47192</v>
      </c>
      <c r="B645" s="16" t="s">
        <v>887</v>
      </c>
      <c r="C645" s="16" t="s">
        <v>240</v>
      </c>
      <c r="D645" s="16" t="s">
        <v>241</v>
      </c>
      <c r="E645" s="6" t="n">
        <v>0</v>
      </c>
      <c r="F645" s="7" t="n">
        <v>-2</v>
      </c>
      <c r="G645" s="6" t="n">
        <v>8.22</v>
      </c>
      <c r="H645" s="6" t="n">
        <v>-2</v>
      </c>
      <c r="I645" s="6" t="n">
        <v>-16.44</v>
      </c>
      <c r="J645" s="6" t="n">
        <v>-14.44</v>
      </c>
    </row>
    <row collapsed="false" customFormat="false" customHeight="false" hidden="false" ht="12.1" outlineLevel="0" r="646">
      <c r="A646" s="39" t="n">
        <v>47197</v>
      </c>
      <c r="B646" s="16" t="s">
        <v>887</v>
      </c>
      <c r="C646" s="16" t="s">
        <v>153</v>
      </c>
      <c r="D646" s="16" t="s">
        <v>154</v>
      </c>
      <c r="E646" s="6" t="n">
        <v>1000</v>
      </c>
      <c r="F646" s="7" t="n">
        <v>34</v>
      </c>
      <c r="G646" s="6" t="n">
        <v>59.84</v>
      </c>
      <c r="H646" s="6" t="n">
        <v>264</v>
      </c>
      <c r="I646" s="6" t="n">
        <v>2034.56</v>
      </c>
      <c r="J646" s="6" t="n">
        <v>1770.56</v>
      </c>
    </row>
    <row collapsed="false" customFormat="false" customHeight="false" hidden="false" ht="12.1" outlineLevel="0" r="647">
      <c r="A647" s="39" t="n">
        <v>47197</v>
      </c>
      <c r="B647" s="16" t="s">
        <v>887</v>
      </c>
      <c r="C647" s="16" t="s">
        <v>144</v>
      </c>
      <c r="D647" s="16" t="s">
        <v>145</v>
      </c>
      <c r="E647" s="6" t="n">
        <v>1000</v>
      </c>
      <c r="F647" s="7" t="n">
        <v>40</v>
      </c>
      <c r="G647" s="6" t="n">
        <v>56.1</v>
      </c>
      <c r="H647" s="6" t="n">
        <v>292</v>
      </c>
      <c r="I647" s="6" t="n">
        <v>2244</v>
      </c>
      <c r="J647" s="6" t="n">
        <v>1952</v>
      </c>
    </row>
    <row collapsed="false" customFormat="false" customHeight="false" hidden="false" ht="12.1" outlineLevel="0" r="648">
      <c r="A648" s="39" t="n">
        <v>47204</v>
      </c>
      <c r="B648" s="16" t="s">
        <v>887</v>
      </c>
      <c r="C648" s="16" t="s">
        <v>150</v>
      </c>
      <c r="D648" s="16" t="s">
        <v>151</v>
      </c>
      <c r="E648" s="6" t="n">
        <v>1000</v>
      </c>
      <c r="F648" s="7" t="n">
        <v>45</v>
      </c>
      <c r="G648" s="6" t="n">
        <v>38.39</v>
      </c>
      <c r="H648" s="6" t="n">
        <v>225</v>
      </c>
      <c r="I648" s="6" t="n">
        <v>1727.55</v>
      </c>
      <c r="J648" s="6" t="n">
        <v>1502.55</v>
      </c>
    </row>
    <row collapsed="false" customFormat="false" customHeight="false" hidden="false" ht="12.1" outlineLevel="0" r="649">
      <c r="A649" s="39" t="n">
        <v>47214</v>
      </c>
      <c r="B649" s="16" t="s">
        <v>887</v>
      </c>
      <c r="C649" s="16" t="s">
        <v>189</v>
      </c>
      <c r="D649" s="16" t="s">
        <v>190</v>
      </c>
      <c r="E649" s="6" t="n">
        <v>1000</v>
      </c>
      <c r="F649" s="7" t="n">
        <v>5</v>
      </c>
      <c r="G649" s="6" t="n">
        <v>19.73</v>
      </c>
      <c r="H649" s="6" t="n">
        <v>13</v>
      </c>
      <c r="I649" s="6" t="n">
        <v>98.65</v>
      </c>
      <c r="J649" s="6" t="n">
        <v>85.65</v>
      </c>
    </row>
    <row collapsed="false" customFormat="false" customHeight="false" hidden="false" ht="12.1" outlineLevel="0" r="650">
      <c r="A650" s="39" t="n">
        <v>47222</v>
      </c>
      <c r="B650" s="16" t="s">
        <v>887</v>
      </c>
      <c r="C650" s="16" t="s">
        <v>240</v>
      </c>
      <c r="D650" s="16" t="s">
        <v>241</v>
      </c>
      <c r="E650" s="6" t="n">
        <v>0</v>
      </c>
      <c r="F650" s="7" t="n">
        <v>-2</v>
      </c>
      <c r="G650" s="6" t="n">
        <v>8.22</v>
      </c>
      <c r="H650" s="6" t="n">
        <v>-2</v>
      </c>
      <c r="I650" s="6" t="n">
        <v>-16.44</v>
      </c>
      <c r="J650" s="6" t="n">
        <v>-14.44</v>
      </c>
    </row>
    <row collapsed="false" customFormat="false" customHeight="false" hidden="false" ht="12.1" outlineLevel="0" r="651">
      <c r="A651" s="39" t="n">
        <v>47225</v>
      </c>
      <c r="B651" s="16" t="s">
        <v>887</v>
      </c>
      <c r="C651" s="16" t="s">
        <v>183</v>
      </c>
      <c r="D651" s="16" t="s">
        <v>184</v>
      </c>
      <c r="E651" s="6" t="n">
        <v>1000</v>
      </c>
      <c r="F651" s="7" t="n">
        <v>9</v>
      </c>
      <c r="G651" s="6" t="n">
        <v>64.82</v>
      </c>
      <c r="H651" s="6" t="n">
        <v>76</v>
      </c>
      <c r="I651" s="6" t="n">
        <v>583.38</v>
      </c>
      <c r="J651" s="6" t="n">
        <v>507.38</v>
      </c>
    </row>
    <row collapsed="false" customFormat="false" customHeight="false" hidden="false" ht="12.1" outlineLevel="0" r="652">
      <c r="A652" s="39" t="n">
        <v>47226</v>
      </c>
      <c r="B652" s="16" t="s">
        <v>887</v>
      </c>
      <c r="C652" s="16" t="s">
        <v>180</v>
      </c>
      <c r="D652" s="16" t="s">
        <v>181</v>
      </c>
      <c r="E652" s="6" t="n">
        <v>1000</v>
      </c>
      <c r="F652" s="7" t="n">
        <v>12</v>
      </c>
      <c r="G652" s="6" t="n">
        <v>16.83</v>
      </c>
      <c r="H652" s="6" t="n">
        <v>26</v>
      </c>
      <c r="I652" s="6" t="n">
        <v>201.96</v>
      </c>
      <c r="J652" s="6" t="n">
        <v>175.96</v>
      </c>
    </row>
    <row collapsed="false" customFormat="false" customHeight="false" hidden="false" ht="12.1" outlineLevel="0" r="653">
      <c r="A653" s="39" t="n">
        <v>47244</v>
      </c>
      <c r="B653" s="16" t="s">
        <v>887</v>
      </c>
      <c r="C653" s="16" t="s">
        <v>189</v>
      </c>
      <c r="D653" s="16" t="s">
        <v>190</v>
      </c>
      <c r="E653" s="6" t="n">
        <v>1000</v>
      </c>
      <c r="F653" s="7" t="n">
        <v>5</v>
      </c>
      <c r="G653" s="6" t="n">
        <v>19.73</v>
      </c>
      <c r="H653" s="6" t="n">
        <v>13</v>
      </c>
      <c r="I653" s="6" t="n">
        <v>98.65</v>
      </c>
      <c r="J653" s="6" t="n">
        <v>85.65</v>
      </c>
    </row>
    <row collapsed="false" customFormat="false" customHeight="false" hidden="false" ht="12.1" outlineLevel="0" r="654">
      <c r="A654" s="39" t="n">
        <v>47252</v>
      </c>
      <c r="B654" s="16" t="s">
        <v>887</v>
      </c>
      <c r="C654" s="16" t="s">
        <v>240</v>
      </c>
      <c r="D654" s="16" t="s">
        <v>241</v>
      </c>
      <c r="E654" s="6" t="n">
        <v>0</v>
      </c>
      <c r="F654" s="7" t="n">
        <v>-2</v>
      </c>
      <c r="G654" s="6" t="n">
        <v>8.22</v>
      </c>
      <c r="H654" s="6" t="n">
        <v>-2</v>
      </c>
      <c r="I654" s="6" t="n">
        <v>-16.44</v>
      </c>
      <c r="J654" s="6" t="n">
        <v>-14.44</v>
      </c>
    </row>
    <row collapsed="false" customFormat="false" customHeight="false" hidden="false" ht="12.1" outlineLevel="0" r="655">
      <c r="A655" s="39" t="n">
        <v>47260</v>
      </c>
      <c r="B655" s="16" t="s">
        <v>887</v>
      </c>
      <c r="C655" s="16" t="s">
        <v>159</v>
      </c>
      <c r="D655" s="16" t="s">
        <v>160</v>
      </c>
      <c r="E655" s="6" t="n">
        <v>1000</v>
      </c>
      <c r="F655" s="7" t="n">
        <v>34</v>
      </c>
      <c r="G655" s="6" t="n">
        <v>47.37</v>
      </c>
      <c r="H655" s="6" t="n">
        <v>209</v>
      </c>
      <c r="I655" s="6" t="n">
        <v>1610.58</v>
      </c>
      <c r="J655" s="6" t="n">
        <v>1401.58</v>
      </c>
    </row>
    <row collapsed="false" customFormat="false" customHeight="false" hidden="false" ht="12.1" outlineLevel="0" r="656">
      <c r="A656" s="39" t="n">
        <v>47260</v>
      </c>
      <c r="B656" s="16" t="s">
        <v>887</v>
      </c>
      <c r="C656" s="16" t="s">
        <v>168</v>
      </c>
      <c r="D656" s="16" t="s">
        <v>169</v>
      </c>
      <c r="E656" s="6" t="n">
        <v>1000</v>
      </c>
      <c r="F656" s="7" t="n">
        <v>20</v>
      </c>
      <c r="G656" s="6" t="n">
        <v>61.08</v>
      </c>
      <c r="H656" s="6" t="n">
        <v>159</v>
      </c>
      <c r="I656" s="6" t="n">
        <v>1221.6</v>
      </c>
      <c r="J656" s="6" t="n">
        <v>1062.6</v>
      </c>
    </row>
    <row collapsed="false" customFormat="false" customHeight="false" hidden="false" ht="12.1" outlineLevel="0" r="657">
      <c r="A657" s="39" t="n">
        <v>47267</v>
      </c>
      <c r="B657" s="16" t="s">
        <v>887</v>
      </c>
      <c r="C657" s="16" t="s">
        <v>165</v>
      </c>
      <c r="D657" s="16" t="s">
        <v>166</v>
      </c>
      <c r="E657" s="6" t="n">
        <v>1000</v>
      </c>
      <c r="F657" s="7" t="n">
        <v>20</v>
      </c>
      <c r="G657" s="6" t="n">
        <v>61.08</v>
      </c>
      <c r="H657" s="6" t="n">
        <v>159</v>
      </c>
      <c r="I657" s="6" t="n">
        <v>1221.6</v>
      </c>
      <c r="J657" s="6" t="n">
        <v>1062.6</v>
      </c>
    </row>
    <row collapsed="false" customFormat="false" customHeight="false" hidden="false" ht="12.1" outlineLevel="0" r="658">
      <c r="A658" s="39" t="n">
        <v>47267</v>
      </c>
      <c r="B658" s="16" t="s">
        <v>887</v>
      </c>
      <c r="C658" s="16" t="s">
        <v>134</v>
      </c>
      <c r="D658" s="16" t="s">
        <v>136</v>
      </c>
      <c r="E658" s="6" t="n">
        <v>1000</v>
      </c>
      <c r="F658" s="7" t="n">
        <v>88</v>
      </c>
      <c r="G658" s="6" t="n">
        <v>35.4</v>
      </c>
      <c r="H658" s="6" t="n">
        <v>405</v>
      </c>
      <c r="I658" s="6" t="n">
        <v>3115.2</v>
      </c>
      <c r="J658" s="6" t="n">
        <v>2710.2</v>
      </c>
    </row>
    <row collapsed="false" customFormat="false" customHeight="false" hidden="false" ht="12.1" outlineLevel="0" r="659">
      <c r="A659" s="39" t="n">
        <v>47267</v>
      </c>
      <c r="B659" s="16" t="s">
        <v>887</v>
      </c>
      <c r="C659" s="16" t="s">
        <v>141</v>
      </c>
      <c r="D659" s="16" t="s">
        <v>142</v>
      </c>
      <c r="E659" s="6" t="n">
        <v>1000</v>
      </c>
      <c r="F659" s="7" t="n">
        <v>53</v>
      </c>
      <c r="G659" s="6" t="n">
        <v>48.87</v>
      </c>
      <c r="H659" s="6" t="n">
        <v>337</v>
      </c>
      <c r="I659" s="6" t="n">
        <v>2590.11</v>
      </c>
      <c r="J659" s="6" t="n">
        <v>2253.11</v>
      </c>
    </row>
    <row collapsed="false" customFormat="false" customHeight="false" hidden="false" ht="12.1" outlineLevel="0" r="660">
      <c r="A660" s="39" t="n">
        <v>47274</v>
      </c>
      <c r="B660" s="16" t="s">
        <v>887</v>
      </c>
      <c r="C660" s="16" t="s">
        <v>234</v>
      </c>
      <c r="D660" s="16" t="s">
        <v>235</v>
      </c>
      <c r="E660" s="6" t="n">
        <v>552.59</v>
      </c>
      <c r="F660" s="7" t="n">
        <v>1</v>
      </c>
      <c r="G660" s="6" t="n">
        <v>14.18</v>
      </c>
      <c r="H660" s="6" t="n">
        <v>2</v>
      </c>
      <c r="I660" s="6" t="n">
        <v>14.18</v>
      </c>
      <c r="J660" s="6" t="n">
        <v>12.18</v>
      </c>
    </row>
    <row collapsed="false" customFormat="false" customHeight="false" hidden="false" ht="12.1" outlineLevel="0" r="661">
      <c r="A661" s="39" t="n">
        <v>47274</v>
      </c>
      <c r="B661" s="16" t="s">
        <v>887</v>
      </c>
      <c r="C661" s="16" t="s">
        <v>189</v>
      </c>
      <c r="D661" s="16" t="s">
        <v>190</v>
      </c>
      <c r="E661" s="6" t="n">
        <v>1000</v>
      </c>
      <c r="F661" s="7" t="n">
        <v>5</v>
      </c>
      <c r="G661" s="6" t="n">
        <v>19.73</v>
      </c>
      <c r="H661" s="6" t="n">
        <v>13</v>
      </c>
      <c r="I661" s="6" t="n">
        <v>98.65</v>
      </c>
      <c r="J661" s="6" t="n">
        <v>85.65</v>
      </c>
    </row>
    <row collapsed="false" customFormat="false" customHeight="false" hidden="false" ht="12.1" outlineLevel="0" r="662">
      <c r="A662" s="39" t="n">
        <v>47276</v>
      </c>
      <c r="B662" s="16" t="s">
        <v>887</v>
      </c>
      <c r="C662" s="16" t="s">
        <v>171</v>
      </c>
      <c r="D662" s="16" t="s">
        <v>172</v>
      </c>
      <c r="E662" s="6" t="n">
        <v>1000</v>
      </c>
      <c r="F662" s="7" t="n">
        <v>20</v>
      </c>
      <c r="G662" s="6" t="n">
        <v>17.83</v>
      </c>
      <c r="H662" s="6" t="n">
        <v>46</v>
      </c>
      <c r="I662" s="6" t="n">
        <v>356.6</v>
      </c>
      <c r="J662" s="6" t="n">
        <v>310.6</v>
      </c>
    </row>
    <row collapsed="false" customFormat="false" customHeight="false" hidden="false" ht="12.1" outlineLevel="0" r="663">
      <c r="A663" s="39" t="n">
        <v>47282</v>
      </c>
      <c r="B663" s="16" t="s">
        <v>887</v>
      </c>
      <c r="C663" s="16" t="s">
        <v>240</v>
      </c>
      <c r="D663" s="16" t="s">
        <v>241</v>
      </c>
      <c r="E663" s="6" t="n">
        <v>0</v>
      </c>
      <c r="F663" s="7" t="n">
        <v>-2</v>
      </c>
      <c r="G663" s="6" t="n">
        <v>8.22</v>
      </c>
      <c r="H663" s="6" t="n">
        <v>-2</v>
      </c>
      <c r="I663" s="6" t="n">
        <v>-16.44</v>
      </c>
      <c r="J663" s="6" t="n">
        <v>-14.44</v>
      </c>
    </row>
    <row collapsed="false" customFormat="false" customHeight="false" hidden="false" ht="12.1" outlineLevel="0" r="664">
      <c r="A664" s="39" t="n">
        <v>47312</v>
      </c>
      <c r="B664" s="16" t="s">
        <v>887</v>
      </c>
      <c r="C664" s="16" t="s">
        <v>240</v>
      </c>
      <c r="D664" s="16" t="s">
        <v>241</v>
      </c>
      <c r="E664" s="6" t="n">
        <v>0</v>
      </c>
      <c r="F664" s="7" t="n">
        <v>-2</v>
      </c>
      <c r="G664" s="6" t="n">
        <v>8.22</v>
      </c>
      <c r="H664" s="6" t="n">
        <v>-2</v>
      </c>
      <c r="I664" s="6" t="n">
        <v>-16.44</v>
      </c>
      <c r="J664" s="6" t="n">
        <v>-14.44</v>
      </c>
    </row>
    <row collapsed="false" customFormat="false" customHeight="false" hidden="false" ht="12.1" outlineLevel="0" r="665">
      <c r="A665" s="39" t="n">
        <v>47317</v>
      </c>
      <c r="B665" s="16" t="s">
        <v>887</v>
      </c>
      <c r="C665" s="16" t="s">
        <v>180</v>
      </c>
      <c r="D665" s="16" t="s">
        <v>181</v>
      </c>
      <c r="E665" s="6" t="n">
        <v>1000</v>
      </c>
      <c r="F665" s="7" t="n">
        <v>12</v>
      </c>
      <c r="G665" s="6" t="n">
        <v>16.83</v>
      </c>
      <c r="H665" s="6" t="n">
        <v>26</v>
      </c>
      <c r="I665" s="6" t="n">
        <v>201.96</v>
      </c>
      <c r="J665" s="6" t="n">
        <v>175.96</v>
      </c>
    </row>
    <row collapsed="false" customFormat="false" customHeight="false" hidden="false" ht="12.1" outlineLevel="0" r="666">
      <c r="A666" s="39" t="n">
        <v>47337</v>
      </c>
      <c r="B666" s="16" t="s">
        <v>887</v>
      </c>
      <c r="C666" s="16" t="s">
        <v>138</v>
      </c>
      <c r="D666" s="16" t="s">
        <v>139</v>
      </c>
      <c r="E666" s="6" t="n">
        <v>1000</v>
      </c>
      <c r="F666" s="7" t="n">
        <v>80</v>
      </c>
      <c r="G666" s="6" t="n">
        <v>34.9</v>
      </c>
      <c r="H666" s="6" t="n">
        <v>363</v>
      </c>
      <c r="I666" s="6" t="n">
        <v>2792</v>
      </c>
      <c r="J666" s="6" t="n">
        <v>2429</v>
      </c>
    </row>
    <row collapsed="false" customFormat="false" customHeight="false" hidden="false" ht="12.1" outlineLevel="0" r="667">
      <c r="A667" s="39" t="n">
        <v>47342</v>
      </c>
      <c r="B667" s="16" t="s">
        <v>887</v>
      </c>
      <c r="C667" s="16" t="s">
        <v>240</v>
      </c>
      <c r="D667" s="16" t="s">
        <v>241</v>
      </c>
      <c r="E667" s="6" t="n">
        <v>0</v>
      </c>
      <c r="F667" s="7" t="n">
        <v>-2</v>
      </c>
      <c r="G667" s="6" t="n">
        <v>8.22</v>
      </c>
      <c r="H667" s="6" t="n">
        <v>-2</v>
      </c>
      <c r="I667" s="6" t="n">
        <v>-16.44</v>
      </c>
      <c r="J667" s="6" t="n">
        <v>-14.44</v>
      </c>
    </row>
    <row collapsed="false" customFormat="false" customHeight="false" hidden="false" ht="12.1" outlineLevel="0" r="668">
      <c r="A668" s="39" t="n">
        <v>47365</v>
      </c>
      <c r="B668" s="16" t="s">
        <v>887</v>
      </c>
      <c r="C668" s="16" t="s">
        <v>234</v>
      </c>
      <c r="D668" s="16" t="s">
        <v>235</v>
      </c>
      <c r="E668" s="6" t="n">
        <v>552.59</v>
      </c>
      <c r="F668" s="7" t="n">
        <v>1</v>
      </c>
      <c r="G668" s="6" t="n">
        <v>12.6</v>
      </c>
      <c r="H668" s="6" t="n">
        <v>2</v>
      </c>
      <c r="I668" s="6" t="n">
        <v>12.6</v>
      </c>
      <c r="J668" s="6" t="n">
        <v>10.6</v>
      </c>
    </row>
    <row collapsed="false" customFormat="false" customHeight="false" hidden="false" ht="12.1" outlineLevel="0" r="669">
      <c r="A669" s="39" t="n">
        <v>47367</v>
      </c>
      <c r="B669" s="16" t="s">
        <v>887</v>
      </c>
      <c r="C669" s="16" t="s">
        <v>171</v>
      </c>
      <c r="D669" s="16" t="s">
        <v>172</v>
      </c>
      <c r="E669" s="6" t="n">
        <v>1000</v>
      </c>
      <c r="F669" s="7" t="n">
        <v>20</v>
      </c>
      <c r="G669" s="6" t="n">
        <v>17.83</v>
      </c>
      <c r="H669" s="6" t="n">
        <v>46</v>
      </c>
      <c r="I669" s="6" t="n">
        <v>356.6</v>
      </c>
      <c r="J669" s="6" t="n">
        <v>310.6</v>
      </c>
    </row>
    <row collapsed="false" customFormat="false" customHeight="false" hidden="false" ht="12.1" outlineLevel="0" r="670">
      <c r="A670" s="39" t="n">
        <v>47372</v>
      </c>
      <c r="B670" s="16" t="s">
        <v>887</v>
      </c>
      <c r="C670" s="16" t="s">
        <v>240</v>
      </c>
      <c r="D670" s="16" t="s">
        <v>241</v>
      </c>
      <c r="E670" s="6" t="n">
        <v>0</v>
      </c>
      <c r="F670" s="7" t="n">
        <v>-2</v>
      </c>
      <c r="G670" s="6" t="n">
        <v>8.22</v>
      </c>
      <c r="H670" s="6" t="n">
        <v>-2</v>
      </c>
      <c r="I670" s="6" t="n">
        <v>-16.44</v>
      </c>
      <c r="J670" s="6" t="n">
        <v>-14.44</v>
      </c>
    </row>
    <row collapsed="false" customFormat="false" customHeight="false" hidden="false" ht="12.1" outlineLevel="0" r="671">
      <c r="A671" s="39" t="n">
        <v>47379</v>
      </c>
      <c r="B671" s="16" t="s">
        <v>887</v>
      </c>
      <c r="C671" s="16" t="s">
        <v>144</v>
      </c>
      <c r="D671" s="16" t="s">
        <v>145</v>
      </c>
      <c r="E671" s="6" t="n">
        <v>1000</v>
      </c>
      <c r="F671" s="7" t="n">
        <v>40</v>
      </c>
      <c r="G671" s="6" t="n">
        <v>56.1</v>
      </c>
      <c r="H671" s="6" t="n">
        <v>292</v>
      </c>
      <c r="I671" s="6" t="n">
        <v>2244</v>
      </c>
      <c r="J671" s="6" t="n">
        <v>1952</v>
      </c>
    </row>
    <row collapsed="false" customFormat="false" customHeight="false" hidden="false" ht="12.1" outlineLevel="0" r="672">
      <c r="A672" s="39" t="n">
        <v>47379</v>
      </c>
      <c r="B672" s="16" t="s">
        <v>887</v>
      </c>
      <c r="C672" s="16" t="s">
        <v>153</v>
      </c>
      <c r="D672" s="16" t="s">
        <v>154</v>
      </c>
      <c r="E672" s="6" t="n">
        <v>1000</v>
      </c>
      <c r="F672" s="7" t="n">
        <v>34</v>
      </c>
      <c r="G672" s="6" t="n">
        <v>59.84</v>
      </c>
      <c r="H672" s="6" t="n">
        <v>264</v>
      </c>
      <c r="I672" s="6" t="n">
        <v>2034.56</v>
      </c>
      <c r="J672" s="6" t="n">
        <v>1770.56</v>
      </c>
    </row>
    <row collapsed="false" customFormat="false" customHeight="false" hidden="false" ht="12.1" outlineLevel="0" r="673">
      <c r="A673" s="39" t="n">
        <v>47386</v>
      </c>
      <c r="B673" s="16" t="s">
        <v>887</v>
      </c>
      <c r="C673" s="16" t="s">
        <v>150</v>
      </c>
      <c r="D673" s="16" t="s">
        <v>151</v>
      </c>
      <c r="E673" s="6" t="n">
        <v>1000</v>
      </c>
      <c r="F673" s="7" t="n">
        <v>45</v>
      </c>
      <c r="G673" s="6" t="n">
        <v>38.39</v>
      </c>
      <c r="H673" s="6" t="n">
        <v>225</v>
      </c>
      <c r="I673" s="6" t="n">
        <v>1727.55</v>
      </c>
      <c r="J673" s="6" t="n">
        <v>1502.55</v>
      </c>
    </row>
    <row collapsed="false" customFormat="false" customHeight="false" hidden="false" ht="12.1" outlineLevel="0" r="674">
      <c r="A674" s="39" t="n">
        <v>47402</v>
      </c>
      <c r="B674" s="16" t="s">
        <v>887</v>
      </c>
      <c r="C674" s="16" t="s">
        <v>240</v>
      </c>
      <c r="D674" s="16" t="s">
        <v>241</v>
      </c>
      <c r="E674" s="6" t="n">
        <v>0</v>
      </c>
      <c r="F674" s="7" t="n">
        <v>-2</v>
      </c>
      <c r="G674" s="6" t="n">
        <v>8.22</v>
      </c>
      <c r="H674" s="6" t="n">
        <v>-2</v>
      </c>
      <c r="I674" s="6" t="n">
        <v>-16.44</v>
      </c>
      <c r="J674" s="6" t="n">
        <v>-14.44</v>
      </c>
    </row>
    <row collapsed="false" customFormat="false" customHeight="false" hidden="false" ht="12.1" outlineLevel="0" r="675">
      <c r="A675" s="39" t="n">
        <v>47407</v>
      </c>
      <c r="B675" s="16" t="s">
        <v>887</v>
      </c>
      <c r="C675" s="16" t="s">
        <v>183</v>
      </c>
      <c r="D675" s="16" t="s">
        <v>184</v>
      </c>
      <c r="E675" s="6" t="n">
        <v>1000</v>
      </c>
      <c r="F675" s="7" t="n">
        <v>9</v>
      </c>
      <c r="G675" s="6" t="n">
        <v>64.82</v>
      </c>
      <c r="H675" s="6" t="n">
        <v>76</v>
      </c>
      <c r="I675" s="6" t="n">
        <v>583.38</v>
      </c>
      <c r="J675" s="6" t="n">
        <v>507.38</v>
      </c>
    </row>
    <row collapsed="false" customFormat="false" customHeight="false" hidden="false" ht="12.1" outlineLevel="0" r="676">
      <c r="A676" s="39" t="n">
        <v>47408</v>
      </c>
      <c r="B676" s="16" t="s">
        <v>887</v>
      </c>
      <c r="C676" s="16" t="s">
        <v>180</v>
      </c>
      <c r="D676" s="16" t="s">
        <v>181</v>
      </c>
      <c r="E676" s="6" t="n">
        <v>1000</v>
      </c>
      <c r="F676" s="7" t="n">
        <v>12</v>
      </c>
      <c r="G676" s="6" t="n">
        <v>16.83</v>
      </c>
      <c r="H676" s="6" t="n">
        <v>26</v>
      </c>
      <c r="I676" s="6" t="n">
        <v>201.96</v>
      </c>
      <c r="J676" s="6" t="n">
        <v>175.96</v>
      </c>
    </row>
    <row collapsed="false" customFormat="false" customHeight="false" hidden="false" ht="12.1" outlineLevel="0" r="677">
      <c r="A677" s="39" t="n">
        <v>47432</v>
      </c>
      <c r="B677" s="16" t="s">
        <v>887</v>
      </c>
      <c r="C677" s="16" t="s">
        <v>240</v>
      </c>
      <c r="D677" s="16" t="s">
        <v>241</v>
      </c>
      <c r="E677" s="6" t="n">
        <v>0</v>
      </c>
      <c r="F677" s="7" t="n">
        <v>-2</v>
      </c>
      <c r="G677" s="6" t="n">
        <v>8.22</v>
      </c>
      <c r="H677" s="6" t="n">
        <v>-2</v>
      </c>
      <c r="I677" s="6" t="n">
        <v>-16.44</v>
      </c>
      <c r="J677" s="6" t="n">
        <v>-14.44</v>
      </c>
    </row>
    <row collapsed="false" customFormat="false" customHeight="false" hidden="false" ht="12.1" outlineLevel="0" r="678">
      <c r="A678" s="39" t="n">
        <v>47442</v>
      </c>
      <c r="B678" s="16" t="s">
        <v>887</v>
      </c>
      <c r="C678" s="16" t="s">
        <v>159</v>
      </c>
      <c r="D678" s="16" t="s">
        <v>160</v>
      </c>
      <c r="E678" s="6" t="n">
        <v>1000</v>
      </c>
      <c r="F678" s="7" t="n">
        <v>34</v>
      </c>
      <c r="G678" s="6" t="n">
        <v>47.37</v>
      </c>
      <c r="H678" s="6" t="n">
        <v>209</v>
      </c>
      <c r="I678" s="6" t="n">
        <v>1610.58</v>
      </c>
      <c r="J678" s="6" t="n">
        <v>1401.58</v>
      </c>
    </row>
    <row collapsed="false" customFormat="false" customHeight="false" hidden="false" ht="12.1" outlineLevel="0" r="679">
      <c r="A679" s="39" t="n">
        <v>47442</v>
      </c>
      <c r="B679" s="16" t="s">
        <v>887</v>
      </c>
      <c r="C679" s="16" t="s">
        <v>168</v>
      </c>
      <c r="D679" s="16" t="s">
        <v>169</v>
      </c>
      <c r="E679" s="6" t="n">
        <v>1000</v>
      </c>
      <c r="F679" s="7" t="n">
        <v>20</v>
      </c>
      <c r="G679" s="6" t="n">
        <v>61.08</v>
      </c>
      <c r="H679" s="6" t="n">
        <v>159</v>
      </c>
      <c r="I679" s="6" t="n">
        <v>1221.6</v>
      </c>
      <c r="J679" s="6" t="n">
        <v>1062.6</v>
      </c>
    </row>
    <row collapsed="false" customFormat="false" customHeight="false" hidden="false" ht="12.1" outlineLevel="0" r="680">
      <c r="A680" s="39" t="n">
        <v>47449</v>
      </c>
      <c r="B680" s="16" t="s">
        <v>887</v>
      </c>
      <c r="C680" s="16" t="s">
        <v>165</v>
      </c>
      <c r="D680" s="16" t="s">
        <v>166</v>
      </c>
      <c r="E680" s="6" t="n">
        <v>1000</v>
      </c>
      <c r="F680" s="7" t="n">
        <v>20</v>
      </c>
      <c r="G680" s="6" t="n">
        <v>61.08</v>
      </c>
      <c r="H680" s="6" t="n">
        <v>159</v>
      </c>
      <c r="I680" s="6" t="n">
        <v>1221.6</v>
      </c>
      <c r="J680" s="6" t="n">
        <v>1062.6</v>
      </c>
    </row>
    <row collapsed="false" customFormat="false" customHeight="false" hidden="false" ht="12.1" outlineLevel="0" r="681">
      <c r="A681" s="39" t="n">
        <v>47449</v>
      </c>
      <c r="B681" s="16" t="s">
        <v>887</v>
      </c>
      <c r="C681" s="16" t="s">
        <v>141</v>
      </c>
      <c r="D681" s="16" t="s">
        <v>142</v>
      </c>
      <c r="E681" s="6" t="n">
        <v>1000</v>
      </c>
      <c r="F681" s="7" t="n">
        <v>53</v>
      </c>
      <c r="G681" s="6" t="n">
        <v>48.87</v>
      </c>
      <c r="H681" s="6" t="n">
        <v>337</v>
      </c>
      <c r="I681" s="6" t="n">
        <v>2590.11</v>
      </c>
      <c r="J681" s="6" t="n">
        <v>2253.11</v>
      </c>
    </row>
    <row collapsed="false" customFormat="false" customHeight="false" hidden="false" ht="12.1" outlineLevel="0" r="682">
      <c r="A682" s="39" t="n">
        <v>47449</v>
      </c>
      <c r="B682" s="16" t="s">
        <v>887</v>
      </c>
      <c r="C682" s="16" t="s">
        <v>134</v>
      </c>
      <c r="D682" s="16" t="s">
        <v>136</v>
      </c>
      <c r="E682" s="6" t="n">
        <v>1000</v>
      </c>
      <c r="F682" s="7" t="n">
        <v>88</v>
      </c>
      <c r="G682" s="6" t="n">
        <v>35.4</v>
      </c>
      <c r="H682" s="6" t="n">
        <v>405</v>
      </c>
      <c r="I682" s="6" t="n">
        <v>3115.2</v>
      </c>
      <c r="J682" s="6" t="n">
        <v>2710.2</v>
      </c>
    </row>
    <row collapsed="false" customFormat="false" customHeight="false" hidden="false" ht="12.1" outlineLevel="0" r="683">
      <c r="A683" s="39" t="n">
        <v>47456</v>
      </c>
      <c r="B683" s="16" t="s">
        <v>887</v>
      </c>
      <c r="C683" s="16" t="s">
        <v>234</v>
      </c>
      <c r="D683" s="16" t="s">
        <v>235</v>
      </c>
      <c r="E683" s="6" t="n">
        <v>552.59</v>
      </c>
      <c r="F683" s="7" t="n">
        <v>1</v>
      </c>
      <c r="G683" s="6" t="n">
        <v>10.97</v>
      </c>
      <c r="H683" s="6" t="n">
        <v>1</v>
      </c>
      <c r="I683" s="6" t="n">
        <v>10.97</v>
      </c>
      <c r="J683" s="6" t="n">
        <v>9.97</v>
      </c>
    </row>
    <row collapsed="false" customFormat="false" customHeight="false" hidden="false" ht="12.1" outlineLevel="0" r="684">
      <c r="A684" s="39" t="n">
        <v>47458</v>
      </c>
      <c r="B684" s="16" t="s">
        <v>887</v>
      </c>
      <c r="C684" s="16" t="s">
        <v>171</v>
      </c>
      <c r="D684" s="16" t="s">
        <v>172</v>
      </c>
      <c r="E684" s="6" t="n">
        <v>1000</v>
      </c>
      <c r="F684" s="7" t="n">
        <v>20</v>
      </c>
      <c r="G684" s="6" t="n">
        <v>17.83</v>
      </c>
      <c r="H684" s="6" t="n">
        <v>46</v>
      </c>
      <c r="I684" s="6" t="n">
        <v>356.6</v>
      </c>
      <c r="J684" s="6" t="n">
        <v>310.6</v>
      </c>
    </row>
    <row collapsed="false" customFormat="false" customHeight="false" hidden="false" ht="12.1" outlineLevel="0" r="685">
      <c r="A685" s="39" t="n">
        <v>47462</v>
      </c>
      <c r="B685" s="16" t="s">
        <v>887</v>
      </c>
      <c r="C685" s="16" t="s">
        <v>240</v>
      </c>
      <c r="D685" s="16" t="s">
        <v>241</v>
      </c>
      <c r="E685" s="6" t="n">
        <v>0</v>
      </c>
      <c r="F685" s="7" t="n">
        <v>-2</v>
      </c>
      <c r="G685" s="6" t="n">
        <v>8.22</v>
      </c>
      <c r="H685" s="6" t="n">
        <v>-2</v>
      </c>
      <c r="I685" s="6" t="n">
        <v>-16.44</v>
      </c>
      <c r="J685" s="6" t="n">
        <v>-14.44</v>
      </c>
    </row>
    <row collapsed="false" customFormat="false" customHeight="false" hidden="false" ht="12.1" outlineLevel="0" r="686">
      <c r="A686" s="39" t="n">
        <v>47492</v>
      </c>
      <c r="B686" s="16" t="s">
        <v>887</v>
      </c>
      <c r="C686" s="16" t="s">
        <v>240</v>
      </c>
      <c r="D686" s="16" t="s">
        <v>241</v>
      </c>
      <c r="E686" s="6" t="n">
        <v>0</v>
      </c>
      <c r="F686" s="7" t="n">
        <v>-2</v>
      </c>
      <c r="G686" s="6" t="n">
        <v>8.22</v>
      </c>
      <c r="H686" s="6" t="n">
        <v>-2</v>
      </c>
      <c r="I686" s="6" t="n">
        <v>-16.44</v>
      </c>
      <c r="J686" s="6" t="n">
        <v>-14.44</v>
      </c>
    </row>
    <row collapsed="false" customFormat="false" customHeight="false" hidden="false" ht="12.1" outlineLevel="0" r="687">
      <c r="A687" s="39" t="n">
        <v>47499</v>
      </c>
      <c r="B687" s="16" t="s">
        <v>887</v>
      </c>
      <c r="C687" s="16" t="s">
        <v>180</v>
      </c>
      <c r="D687" s="16" t="s">
        <v>181</v>
      </c>
      <c r="E687" s="6" t="n">
        <v>1000</v>
      </c>
      <c r="F687" s="7" t="n">
        <v>12</v>
      </c>
      <c r="G687" s="6" t="n">
        <v>16.83</v>
      </c>
      <c r="H687" s="6" t="n">
        <v>26</v>
      </c>
      <c r="I687" s="6" t="n">
        <v>201.96</v>
      </c>
      <c r="J687" s="6" t="n">
        <v>175.96</v>
      </c>
    </row>
    <row collapsed="false" customFormat="false" customHeight="false" hidden="false" ht="12.1" outlineLevel="0" r="688">
      <c r="A688" s="39" t="n">
        <v>47519</v>
      </c>
      <c r="B688" s="16" t="s">
        <v>887</v>
      </c>
      <c r="C688" s="16" t="s">
        <v>138</v>
      </c>
      <c r="D688" s="16" t="s">
        <v>139</v>
      </c>
      <c r="E688" s="6" t="n">
        <v>1000</v>
      </c>
      <c r="F688" s="7" t="n">
        <v>80</v>
      </c>
      <c r="G688" s="6" t="n">
        <v>34.9</v>
      </c>
      <c r="H688" s="6" t="n">
        <v>363</v>
      </c>
      <c r="I688" s="6" t="n">
        <v>2792</v>
      </c>
      <c r="J688" s="6" t="n">
        <v>2429</v>
      </c>
    </row>
    <row collapsed="false" customFormat="false" customHeight="false" hidden="false" ht="12.1" outlineLevel="0" r="689">
      <c r="A689" s="39" t="n">
        <v>47522</v>
      </c>
      <c r="B689" s="16" t="s">
        <v>887</v>
      </c>
      <c r="C689" s="16" t="s">
        <v>240</v>
      </c>
      <c r="D689" s="16" t="s">
        <v>241</v>
      </c>
      <c r="E689" s="6" t="n">
        <v>0</v>
      </c>
      <c r="F689" s="7" t="n">
        <v>-2</v>
      </c>
      <c r="G689" s="6" t="n">
        <v>8.22</v>
      </c>
      <c r="H689" s="6" t="n">
        <v>-2</v>
      </c>
      <c r="I689" s="6" t="n">
        <v>-16.44</v>
      </c>
      <c r="J689" s="6" t="n">
        <v>-14.44</v>
      </c>
    </row>
    <row collapsed="false" customFormat="false" customHeight="false" hidden="false" ht="12.1" outlineLevel="0" r="690">
      <c r="A690" s="39" t="n">
        <v>47547</v>
      </c>
      <c r="B690" s="16" t="s">
        <v>887</v>
      </c>
      <c r="C690" s="16" t="s">
        <v>234</v>
      </c>
      <c r="D690" s="16" t="s">
        <v>235</v>
      </c>
      <c r="E690" s="6" t="n">
        <v>552.59</v>
      </c>
      <c r="F690" s="7" t="n">
        <v>1</v>
      </c>
      <c r="G690" s="6" t="n">
        <v>9.29</v>
      </c>
      <c r="H690" s="6" t="n">
        <v>1</v>
      </c>
      <c r="I690" s="6" t="n">
        <v>9.29</v>
      </c>
      <c r="J690" s="6" t="n">
        <v>8.29</v>
      </c>
    </row>
    <row collapsed="false" customFormat="false" customHeight="false" hidden="false" ht="12.1" outlineLevel="0" r="691">
      <c r="A691" s="39" t="n">
        <v>47552</v>
      </c>
      <c r="B691" s="16" t="s">
        <v>887</v>
      </c>
      <c r="C691" s="16" t="s">
        <v>240</v>
      </c>
      <c r="D691" s="16" t="s">
        <v>241</v>
      </c>
      <c r="E691" s="6" t="n">
        <v>0</v>
      </c>
      <c r="F691" s="7" t="n">
        <v>-2</v>
      </c>
      <c r="G691" s="6" t="n">
        <v>8.22</v>
      </c>
      <c r="H691" s="6" t="n">
        <v>-2</v>
      </c>
      <c r="I691" s="6" t="n">
        <v>-16.44</v>
      </c>
      <c r="J691" s="6" t="n">
        <v>-14.44</v>
      </c>
    </row>
    <row collapsed="false" customFormat="false" customHeight="false" hidden="false" ht="12.1" outlineLevel="0" r="692">
      <c r="A692" s="39" t="n">
        <v>47561</v>
      </c>
      <c r="B692" s="16" t="s">
        <v>887</v>
      </c>
      <c r="C692" s="16" t="s">
        <v>144</v>
      </c>
      <c r="D692" s="16" t="s">
        <v>145</v>
      </c>
      <c r="E692" s="6" t="n">
        <v>1000</v>
      </c>
      <c r="F692" s="7" t="n">
        <v>40</v>
      </c>
      <c r="G692" s="6" t="n">
        <v>56.1</v>
      </c>
      <c r="H692" s="6" t="n">
        <v>292</v>
      </c>
      <c r="I692" s="6" t="n">
        <v>2244</v>
      </c>
      <c r="J692" s="6" t="n">
        <v>1952</v>
      </c>
    </row>
    <row collapsed="false" customFormat="false" customHeight="false" hidden="false" ht="12.1" outlineLevel="0" r="693">
      <c r="A693" s="39" t="n">
        <v>47561</v>
      </c>
      <c r="B693" s="16" t="s">
        <v>887</v>
      </c>
      <c r="C693" s="16" t="s">
        <v>153</v>
      </c>
      <c r="D693" s="16" t="s">
        <v>154</v>
      </c>
      <c r="E693" s="6" t="n">
        <v>1000</v>
      </c>
      <c r="F693" s="7" t="n">
        <v>34</v>
      </c>
      <c r="G693" s="6" t="n">
        <v>59.84</v>
      </c>
      <c r="H693" s="6" t="n">
        <v>264</v>
      </c>
      <c r="I693" s="6" t="n">
        <v>2034.56</v>
      </c>
      <c r="J693" s="6" t="n">
        <v>1770.56</v>
      </c>
    </row>
    <row collapsed="false" customFormat="false" customHeight="false" hidden="false" ht="12.1" outlineLevel="0" r="694">
      <c r="A694" s="39" t="n">
        <v>47568</v>
      </c>
      <c r="B694" s="16" t="s">
        <v>887</v>
      </c>
      <c r="C694" s="16" t="s">
        <v>150</v>
      </c>
      <c r="D694" s="16" t="s">
        <v>151</v>
      </c>
      <c r="E694" s="6" t="n">
        <v>1000</v>
      </c>
      <c r="F694" s="7" t="n">
        <v>45</v>
      </c>
      <c r="G694" s="6" t="n">
        <v>38.39</v>
      </c>
      <c r="H694" s="6" t="n">
        <v>225</v>
      </c>
      <c r="I694" s="6" t="n">
        <v>1727.55</v>
      </c>
      <c r="J694" s="6" t="n">
        <v>1502.55</v>
      </c>
    </row>
    <row collapsed="false" customFormat="false" customHeight="false" hidden="false" ht="12.1" outlineLevel="0" r="695">
      <c r="A695" s="39" t="n">
        <v>47574</v>
      </c>
      <c r="B695" s="16" t="s">
        <v>887</v>
      </c>
      <c r="C695" s="16" t="s">
        <v>237</v>
      </c>
      <c r="D695" s="16" t="s">
        <v>238</v>
      </c>
      <c r="E695" s="6" t="n">
        <v>54.489999999999995</v>
      </c>
      <c r="F695" s="7" t="n">
        <v>10</v>
      </c>
      <c r="G695" s="6" t="n">
        <v>0.13</v>
      </c>
      <c r="H695" s="6" t="n">
        <v>0</v>
      </c>
      <c r="I695" s="6" t="n">
        <v>1.3</v>
      </c>
      <c r="J695" s="6" t="n">
        <v>1.3</v>
      </c>
    </row>
    <row collapsed="false" customFormat="false" customHeight="false" hidden="false" ht="12.1" outlineLevel="0" r="696">
      <c r="A696" s="39" t="n">
        <v>47582</v>
      </c>
      <c r="B696" s="16" t="s">
        <v>887</v>
      </c>
      <c r="C696" s="16" t="s">
        <v>240</v>
      </c>
      <c r="D696" s="16" t="s">
        <v>241</v>
      </c>
      <c r="E696" s="6" t="n">
        <v>0</v>
      </c>
      <c r="F696" s="7" t="n">
        <v>-2</v>
      </c>
      <c r="G696" s="6" t="n">
        <v>8.22</v>
      </c>
      <c r="H696" s="6" t="n">
        <v>-2</v>
      </c>
      <c r="I696" s="6" t="n">
        <v>-16.44</v>
      </c>
      <c r="J696" s="6" t="n">
        <v>-14.44</v>
      </c>
    </row>
    <row collapsed="false" customFormat="false" customHeight="false" hidden="false" ht="12.1" outlineLevel="0" r="697">
      <c r="A697" s="39" t="n">
        <v>47589</v>
      </c>
      <c r="B697" s="16" t="s">
        <v>887</v>
      </c>
      <c r="C697" s="16" t="s">
        <v>183</v>
      </c>
      <c r="D697" s="16" t="s">
        <v>184</v>
      </c>
      <c r="E697" s="6" t="n">
        <v>1000</v>
      </c>
      <c r="F697" s="7" t="n">
        <v>9</v>
      </c>
      <c r="G697" s="6" t="n">
        <v>64.82</v>
      </c>
      <c r="H697" s="6" t="n">
        <v>76</v>
      </c>
      <c r="I697" s="6" t="n">
        <v>583.38</v>
      </c>
      <c r="J697" s="6" t="n">
        <v>507.38</v>
      </c>
    </row>
    <row collapsed="false" customFormat="false" customHeight="false" hidden="false" ht="12.1" outlineLevel="0" r="698">
      <c r="A698" s="39" t="n">
        <v>47612</v>
      </c>
      <c r="B698" s="16" t="s">
        <v>887</v>
      </c>
      <c r="C698" s="16" t="s">
        <v>240</v>
      </c>
      <c r="D698" s="16" t="s">
        <v>241</v>
      </c>
      <c r="E698" s="6" t="n">
        <v>0</v>
      </c>
      <c r="F698" s="7" t="n">
        <v>-2</v>
      </c>
      <c r="G698" s="6" t="n">
        <v>8.22</v>
      </c>
      <c r="H698" s="6" t="n">
        <v>-2</v>
      </c>
      <c r="I698" s="6" t="n">
        <v>-16.44</v>
      </c>
      <c r="J698" s="6" t="n">
        <v>-14.44</v>
      </c>
    </row>
    <row collapsed="false" customFormat="false" customHeight="false" hidden="false" ht="12.1" outlineLevel="0" r="699">
      <c r="A699" s="39" t="n">
        <v>47624</v>
      </c>
      <c r="B699" s="16" t="s">
        <v>887</v>
      </c>
      <c r="C699" s="16" t="s">
        <v>159</v>
      </c>
      <c r="D699" s="16" t="s">
        <v>160</v>
      </c>
      <c r="E699" s="6" t="n">
        <v>1000</v>
      </c>
      <c r="F699" s="7" t="n">
        <v>34</v>
      </c>
      <c r="G699" s="6" t="n">
        <v>47.37</v>
      </c>
      <c r="H699" s="6" t="n">
        <v>209</v>
      </c>
      <c r="I699" s="6" t="n">
        <v>1610.58</v>
      </c>
      <c r="J699" s="6" t="n">
        <v>1401.58</v>
      </c>
    </row>
    <row collapsed="false" customFormat="false" customHeight="false" hidden="false" ht="12.1" outlineLevel="0" r="700">
      <c r="A700" s="39" t="n">
        <v>47624</v>
      </c>
      <c r="B700" s="16" t="s">
        <v>887</v>
      </c>
      <c r="C700" s="16" t="s">
        <v>168</v>
      </c>
      <c r="D700" s="16" t="s">
        <v>169</v>
      </c>
      <c r="E700" s="6" t="n">
        <v>1000</v>
      </c>
      <c r="F700" s="7" t="n">
        <v>20</v>
      </c>
      <c r="G700" s="6" t="n">
        <v>61.08</v>
      </c>
      <c r="H700" s="6" t="n">
        <v>159</v>
      </c>
      <c r="I700" s="6" t="n">
        <v>1221.6</v>
      </c>
      <c r="J700" s="6" t="n">
        <v>1062.6</v>
      </c>
    </row>
    <row collapsed="false" customFormat="false" customHeight="false" hidden="false" ht="12.1" outlineLevel="0" r="701">
      <c r="A701" s="39" t="n">
        <v>47631</v>
      </c>
      <c r="B701" s="16" t="s">
        <v>887</v>
      </c>
      <c r="C701" s="16" t="s">
        <v>141</v>
      </c>
      <c r="D701" s="16" t="s">
        <v>142</v>
      </c>
      <c r="E701" s="6" t="n">
        <v>1000</v>
      </c>
      <c r="F701" s="7" t="n">
        <v>53</v>
      </c>
      <c r="G701" s="6" t="n">
        <v>48.87</v>
      </c>
      <c r="H701" s="6" t="n">
        <v>337</v>
      </c>
      <c r="I701" s="6" t="n">
        <v>2590.11</v>
      </c>
      <c r="J701" s="6" t="n">
        <v>2253.11</v>
      </c>
    </row>
    <row collapsed="false" customFormat="false" customHeight="false" hidden="false" ht="12.1" outlineLevel="0" r="702">
      <c r="A702" s="39" t="n">
        <v>47631</v>
      </c>
      <c r="B702" s="16" t="s">
        <v>887</v>
      </c>
      <c r="C702" s="16" t="s">
        <v>134</v>
      </c>
      <c r="D702" s="16" t="s">
        <v>136</v>
      </c>
      <c r="E702" s="6" t="n">
        <v>1000</v>
      </c>
      <c r="F702" s="7" t="n">
        <v>88</v>
      </c>
      <c r="G702" s="6" t="n">
        <v>35.4</v>
      </c>
      <c r="H702" s="6" t="n">
        <v>405</v>
      </c>
      <c r="I702" s="6" t="n">
        <v>3115.2</v>
      </c>
      <c r="J702" s="6" t="n">
        <v>2710.2</v>
      </c>
    </row>
    <row collapsed="false" customFormat="false" customHeight="false" hidden="false" ht="12.1" outlineLevel="0" r="703">
      <c r="A703" s="39" t="n">
        <v>47631</v>
      </c>
      <c r="B703" s="16" t="s">
        <v>887</v>
      </c>
      <c r="C703" s="16" t="s">
        <v>165</v>
      </c>
      <c r="D703" s="16" t="s">
        <v>166</v>
      </c>
      <c r="E703" s="6" t="n">
        <v>1000</v>
      </c>
      <c r="F703" s="7" t="n">
        <v>20</v>
      </c>
      <c r="G703" s="6" t="n">
        <v>61.08</v>
      </c>
      <c r="H703" s="6" t="n">
        <v>159</v>
      </c>
      <c r="I703" s="6" t="n">
        <v>1221.6</v>
      </c>
      <c r="J703" s="6" t="n">
        <v>1062.6</v>
      </c>
    </row>
    <row collapsed="false" customFormat="false" customHeight="false" hidden="false" ht="12.1" outlineLevel="0" r="704">
      <c r="A704" s="39" t="n">
        <v>47638</v>
      </c>
      <c r="B704" s="16" t="s">
        <v>887</v>
      </c>
      <c r="C704" s="16" t="s">
        <v>234</v>
      </c>
      <c r="D704" s="16" t="s">
        <v>235</v>
      </c>
      <c r="E704" s="6" t="n">
        <v>552.59</v>
      </c>
      <c r="F704" s="7" t="n">
        <v>1</v>
      </c>
      <c r="G704" s="6" t="n">
        <v>7.55</v>
      </c>
      <c r="H704" s="6" t="n">
        <v>1</v>
      </c>
      <c r="I704" s="6" t="n">
        <v>7.55</v>
      </c>
      <c r="J704" s="6" t="n">
        <v>6.55</v>
      </c>
    </row>
    <row collapsed="false" customFormat="false" customHeight="false" hidden="false" ht="12.1" outlineLevel="0" r="705">
      <c r="A705" s="39" t="n">
        <v>47642</v>
      </c>
      <c r="B705" s="16" t="s">
        <v>887</v>
      </c>
      <c r="C705" s="16" t="s">
        <v>240</v>
      </c>
      <c r="D705" s="16" t="s">
        <v>241</v>
      </c>
      <c r="E705" s="6" t="n">
        <v>0</v>
      </c>
      <c r="F705" s="7" t="n">
        <v>-2</v>
      </c>
      <c r="G705" s="6" t="n">
        <v>8.22</v>
      </c>
      <c r="H705" s="6" t="n">
        <v>-2</v>
      </c>
      <c r="I705" s="6" t="n">
        <v>-16.44</v>
      </c>
      <c r="J705" s="6" t="n">
        <v>-14.44</v>
      </c>
    </row>
    <row collapsed="false" customFormat="false" customHeight="false" hidden="false" ht="12.1" outlineLevel="0" r="706">
      <c r="A706" s="39" t="n">
        <v>47672</v>
      </c>
      <c r="B706" s="16" t="s">
        <v>887</v>
      </c>
      <c r="C706" s="16" t="s">
        <v>240</v>
      </c>
      <c r="D706" s="16" t="s">
        <v>241</v>
      </c>
      <c r="E706" s="6" t="n">
        <v>0</v>
      </c>
      <c r="F706" s="7" t="n">
        <v>-2</v>
      </c>
      <c r="G706" s="6" t="n">
        <v>8.22</v>
      </c>
      <c r="H706" s="6" t="n">
        <v>-2</v>
      </c>
      <c r="I706" s="6" t="n">
        <v>-16.44</v>
      </c>
      <c r="J706" s="6" t="n">
        <v>-14.44</v>
      </c>
    </row>
    <row collapsed="false" customFormat="false" customHeight="false" hidden="false" ht="12.1" outlineLevel="0" r="707">
      <c r="A707" s="39" t="n">
        <v>47693</v>
      </c>
      <c r="B707" s="16" t="s">
        <v>887</v>
      </c>
      <c r="C707" s="16" t="s">
        <v>240</v>
      </c>
      <c r="D707" s="16" t="s">
        <v>241</v>
      </c>
      <c r="E707" s="6" t="n">
        <v>0</v>
      </c>
      <c r="F707" s="7" t="n">
        <v>-2</v>
      </c>
      <c r="G707" s="6" t="n">
        <v>5.75</v>
      </c>
      <c r="H707" s="6" t="n">
        <v>-1</v>
      </c>
      <c r="I707" s="6" t="n">
        <v>-11.5</v>
      </c>
      <c r="J707" s="6" t="n">
        <v>-10.5</v>
      </c>
    </row>
    <row collapsed="false" customFormat="false" customHeight="false" hidden="false" ht="12.1" outlineLevel="0" r="708">
      <c r="A708" s="39" t="n">
        <v>47701</v>
      </c>
      <c r="B708" s="16" t="s">
        <v>887</v>
      </c>
      <c r="C708" s="16" t="s">
        <v>138</v>
      </c>
      <c r="D708" s="16" t="s">
        <v>139</v>
      </c>
      <c r="E708" s="6" t="n">
        <v>1000</v>
      </c>
      <c r="F708" s="7" t="n">
        <v>80</v>
      </c>
      <c r="G708" s="6" t="n">
        <v>34.9</v>
      </c>
      <c r="H708" s="6" t="n">
        <v>363</v>
      </c>
      <c r="I708" s="6" t="n">
        <v>2792</v>
      </c>
      <c r="J708" s="6" t="n">
        <v>2429</v>
      </c>
    </row>
    <row collapsed="false" customFormat="false" customHeight="false" hidden="false" ht="12.1" outlineLevel="0" r="709">
      <c r="A709" s="39" t="n">
        <v>47729</v>
      </c>
      <c r="B709" s="16" t="s">
        <v>887</v>
      </c>
      <c r="C709" s="16" t="s">
        <v>234</v>
      </c>
      <c r="D709" s="16" t="s">
        <v>235</v>
      </c>
      <c r="E709" s="6" t="n">
        <v>552.59</v>
      </c>
      <c r="F709" s="7" t="n">
        <v>1</v>
      </c>
      <c r="G709" s="6" t="n">
        <v>5.77</v>
      </c>
      <c r="H709" s="6" t="n">
        <v>1</v>
      </c>
      <c r="I709" s="6" t="n">
        <v>5.77</v>
      </c>
      <c r="J709" s="6" t="n">
        <v>4.77</v>
      </c>
    </row>
    <row collapsed="false" customFormat="false" customHeight="false" hidden="false" ht="12.1" outlineLevel="0" r="710">
      <c r="A710" s="39" t="n">
        <v>47743</v>
      </c>
      <c r="B710" s="16" t="s">
        <v>887</v>
      </c>
      <c r="C710" s="16" t="s">
        <v>153</v>
      </c>
      <c r="D710" s="16" t="s">
        <v>154</v>
      </c>
      <c r="E710" s="6" t="n">
        <v>1000</v>
      </c>
      <c r="F710" s="7" t="n">
        <v>34</v>
      </c>
      <c r="G710" s="6" t="n">
        <v>59.84</v>
      </c>
      <c r="H710" s="6" t="n">
        <v>264</v>
      </c>
      <c r="I710" s="6" t="n">
        <v>2034.56</v>
      </c>
      <c r="J710" s="6" t="n">
        <v>1770.56</v>
      </c>
    </row>
    <row collapsed="false" customFormat="false" customHeight="false" hidden="false" ht="12.1" outlineLevel="0" r="711">
      <c r="A711" s="39" t="n">
        <v>47743</v>
      </c>
      <c r="B711" s="16" t="s">
        <v>887</v>
      </c>
      <c r="C711" s="16" t="s">
        <v>144</v>
      </c>
      <c r="D711" s="16" t="s">
        <v>145</v>
      </c>
      <c r="E711" s="6" t="n">
        <v>1000</v>
      </c>
      <c r="F711" s="7" t="n">
        <v>40</v>
      </c>
      <c r="G711" s="6" t="n">
        <v>56.1</v>
      </c>
      <c r="H711" s="6" t="n">
        <v>292</v>
      </c>
      <c r="I711" s="6" t="n">
        <v>2244</v>
      </c>
      <c r="J711" s="6" t="n">
        <v>1952</v>
      </c>
    </row>
    <row collapsed="false" customFormat="false" customHeight="false" hidden="false" ht="12.1" outlineLevel="0" r="712">
      <c r="A712" s="39" t="n">
        <v>47750</v>
      </c>
      <c r="B712" s="16" t="s">
        <v>887</v>
      </c>
      <c r="C712" s="16" t="s">
        <v>150</v>
      </c>
      <c r="D712" s="16" t="s">
        <v>151</v>
      </c>
      <c r="E712" s="6" t="n">
        <v>1000</v>
      </c>
      <c r="F712" s="7" t="n">
        <v>45</v>
      </c>
      <c r="G712" s="6" t="n">
        <v>38.39</v>
      </c>
      <c r="H712" s="6" t="n">
        <v>225</v>
      </c>
      <c r="I712" s="6" t="n">
        <v>1727.55</v>
      </c>
      <c r="J712" s="6" t="n">
        <v>1502.55</v>
      </c>
    </row>
    <row collapsed="false" customFormat="false" customHeight="false" hidden="false" ht="12.1" outlineLevel="0" r="713">
      <c r="A713" s="39" t="n">
        <v>47771</v>
      </c>
      <c r="B713" s="16" t="s">
        <v>887</v>
      </c>
      <c r="C713" s="16" t="s">
        <v>183</v>
      </c>
      <c r="D713" s="16" t="s">
        <v>184</v>
      </c>
      <c r="E713" s="6" t="n">
        <v>1000</v>
      </c>
      <c r="F713" s="7" t="n">
        <v>9</v>
      </c>
      <c r="G713" s="6" t="n">
        <v>64.82</v>
      </c>
      <c r="H713" s="6" t="n">
        <v>76</v>
      </c>
      <c r="I713" s="6" t="n">
        <v>583.38</v>
      </c>
      <c r="J713" s="6" t="n">
        <v>507.38</v>
      </c>
    </row>
    <row collapsed="false" customFormat="false" customHeight="false" hidden="false" ht="12.1" outlineLevel="0" r="714">
      <c r="A714" s="39" t="n">
        <v>47806</v>
      </c>
      <c r="B714" s="16" t="s">
        <v>887</v>
      </c>
      <c r="C714" s="16" t="s">
        <v>159</v>
      </c>
      <c r="D714" s="16" t="s">
        <v>160</v>
      </c>
      <c r="E714" s="6" t="n">
        <v>1000</v>
      </c>
      <c r="F714" s="7" t="n">
        <v>34</v>
      </c>
      <c r="G714" s="6" t="n">
        <v>47.37</v>
      </c>
      <c r="H714" s="6" t="n">
        <v>209</v>
      </c>
      <c r="I714" s="6" t="n">
        <v>1610.58</v>
      </c>
      <c r="J714" s="6" t="n">
        <v>1401.58</v>
      </c>
    </row>
    <row collapsed="false" customFormat="false" customHeight="false" hidden="false" ht="12.1" outlineLevel="0" r="715">
      <c r="A715" s="39" t="n">
        <v>47806</v>
      </c>
      <c r="B715" s="16" t="s">
        <v>887</v>
      </c>
      <c r="C715" s="16" t="s">
        <v>168</v>
      </c>
      <c r="D715" s="16" t="s">
        <v>169</v>
      </c>
      <c r="E715" s="6" t="n">
        <v>1000</v>
      </c>
      <c r="F715" s="7" t="n">
        <v>20</v>
      </c>
      <c r="G715" s="6" t="n">
        <v>61.08</v>
      </c>
      <c r="H715" s="6" t="n">
        <v>159</v>
      </c>
      <c r="I715" s="6" t="n">
        <v>1221.6</v>
      </c>
      <c r="J715" s="6" t="n">
        <v>1062.6</v>
      </c>
    </row>
    <row collapsed="false" customFormat="false" customHeight="false" hidden="false" ht="12.1" outlineLevel="0" r="716">
      <c r="A716" s="39" t="n">
        <v>47813</v>
      </c>
      <c r="B716" s="16" t="s">
        <v>887</v>
      </c>
      <c r="C716" s="16" t="s">
        <v>165</v>
      </c>
      <c r="D716" s="16" t="s">
        <v>166</v>
      </c>
      <c r="E716" s="6" t="n">
        <v>1000</v>
      </c>
      <c r="F716" s="7" t="n">
        <v>20</v>
      </c>
      <c r="G716" s="6" t="n">
        <v>61.08</v>
      </c>
      <c r="H716" s="6" t="n">
        <v>159</v>
      </c>
      <c r="I716" s="6" t="n">
        <v>1221.6</v>
      </c>
      <c r="J716" s="6" t="n">
        <v>1062.6</v>
      </c>
    </row>
    <row collapsed="false" customFormat="false" customHeight="false" hidden="false" ht="12.1" outlineLevel="0" r="717">
      <c r="A717" s="39" t="n">
        <v>47813</v>
      </c>
      <c r="B717" s="16" t="s">
        <v>887</v>
      </c>
      <c r="C717" s="16" t="s">
        <v>141</v>
      </c>
      <c r="D717" s="16" t="s">
        <v>142</v>
      </c>
      <c r="E717" s="6" t="n">
        <v>1000</v>
      </c>
      <c r="F717" s="7" t="n">
        <v>53</v>
      </c>
      <c r="G717" s="6" t="n">
        <v>48.87</v>
      </c>
      <c r="H717" s="6" t="n">
        <v>337</v>
      </c>
      <c r="I717" s="6" t="n">
        <v>2590.11</v>
      </c>
      <c r="J717" s="6" t="n">
        <v>2253.11</v>
      </c>
    </row>
    <row collapsed="false" customFormat="false" customHeight="false" hidden="false" ht="12.1" outlineLevel="0" r="718">
      <c r="A718" s="39" t="n">
        <v>47813</v>
      </c>
      <c r="B718" s="16" t="s">
        <v>887</v>
      </c>
      <c r="C718" s="16" t="s">
        <v>134</v>
      </c>
      <c r="D718" s="16" t="s">
        <v>136</v>
      </c>
      <c r="E718" s="6" t="n">
        <v>1000</v>
      </c>
      <c r="F718" s="7" t="n">
        <v>88</v>
      </c>
      <c r="G718" s="6" t="n">
        <v>35.4</v>
      </c>
      <c r="H718" s="6" t="n">
        <v>405</v>
      </c>
      <c r="I718" s="6" t="n">
        <v>3115.2</v>
      </c>
      <c r="J718" s="6" t="n">
        <v>2710.2</v>
      </c>
    </row>
    <row collapsed="false" customFormat="false" customHeight="false" hidden="false" ht="12.1" outlineLevel="0" r="719">
      <c r="A719" s="39" t="n">
        <v>47817</v>
      </c>
      <c r="B719" s="16" t="s">
        <v>887</v>
      </c>
      <c r="C719" s="16" t="s">
        <v>228</v>
      </c>
      <c r="D719" s="16" t="s">
        <v>229</v>
      </c>
      <c r="E719" s="6" t="n">
        <v>211.35000000000002</v>
      </c>
      <c r="F719" s="7" t="n">
        <v>7</v>
      </c>
      <c r="G719" s="6" t="n">
        <v>0.05</v>
      </c>
      <c r="H719" s="6" t="n">
        <v>0</v>
      </c>
      <c r="I719" s="6" t="n">
        <v>0.35</v>
      </c>
      <c r="J719" s="6" t="n">
        <v>0.35</v>
      </c>
    </row>
    <row collapsed="false" customFormat="false" customHeight="false" hidden="false" ht="12.1" outlineLevel="0" r="720">
      <c r="A720" s="39" t="n">
        <v>47820</v>
      </c>
      <c r="B720" s="16" t="s">
        <v>887</v>
      </c>
      <c r="C720" s="16" t="s">
        <v>234</v>
      </c>
      <c r="D720" s="16" t="s">
        <v>235</v>
      </c>
      <c r="E720" s="6" t="n">
        <v>552.59</v>
      </c>
      <c r="F720" s="7" t="n">
        <v>1</v>
      </c>
      <c r="G720" s="6" t="n">
        <v>4.79</v>
      </c>
      <c r="H720" s="6" t="n">
        <v>1</v>
      </c>
      <c r="I720" s="6" t="n">
        <v>4.79</v>
      </c>
      <c r="J720" s="6" t="n">
        <v>3.79</v>
      </c>
    </row>
    <row collapsed="false" customFormat="false" customHeight="false" hidden="false" ht="12.1" outlineLevel="0" r="721">
      <c r="A721" s="39" t="n">
        <v>47883</v>
      </c>
      <c r="B721" s="16" t="s">
        <v>887</v>
      </c>
      <c r="C721" s="16" t="s">
        <v>138</v>
      </c>
      <c r="D721" s="16" t="s">
        <v>139</v>
      </c>
      <c r="E721" s="6" t="n">
        <v>1000</v>
      </c>
      <c r="F721" s="7" t="n">
        <v>80</v>
      </c>
      <c r="G721" s="6" t="n">
        <v>34.9</v>
      </c>
      <c r="H721" s="6" t="n">
        <v>363</v>
      </c>
      <c r="I721" s="6" t="n">
        <v>2792</v>
      </c>
      <c r="J721" s="6" t="n">
        <v>2429</v>
      </c>
    </row>
    <row collapsed="false" customFormat="false" customHeight="false" hidden="false" ht="12.1" outlineLevel="0" r="722">
      <c r="A722" s="39" t="n">
        <v>47911</v>
      </c>
      <c r="B722" s="16" t="s">
        <v>887</v>
      </c>
      <c r="C722" s="16" t="s">
        <v>234</v>
      </c>
      <c r="D722" s="16" t="s">
        <v>235</v>
      </c>
      <c r="E722" s="6" t="n">
        <v>552.59</v>
      </c>
      <c r="F722" s="7" t="n">
        <v>1</v>
      </c>
      <c r="G722" s="6" t="n">
        <v>4.25</v>
      </c>
      <c r="H722" s="6" t="n">
        <v>1</v>
      </c>
      <c r="I722" s="6" t="n">
        <v>4.25</v>
      </c>
      <c r="J722" s="6" t="n">
        <v>3.25</v>
      </c>
    </row>
    <row collapsed="false" customFormat="false" customHeight="false" hidden="false" ht="12.1" outlineLevel="0" r="723">
      <c r="A723" s="39" t="n">
        <v>47925</v>
      </c>
      <c r="B723" s="16" t="s">
        <v>887</v>
      </c>
      <c r="C723" s="16" t="s">
        <v>144</v>
      </c>
      <c r="D723" s="16" t="s">
        <v>145</v>
      </c>
      <c r="E723" s="6" t="n">
        <v>1000</v>
      </c>
      <c r="F723" s="7" t="n">
        <v>40</v>
      </c>
      <c r="G723" s="6" t="n">
        <v>56.1</v>
      </c>
      <c r="H723" s="6" t="n">
        <v>292</v>
      </c>
      <c r="I723" s="6" t="n">
        <v>2244</v>
      </c>
      <c r="J723" s="6" t="n">
        <v>1952</v>
      </c>
    </row>
    <row collapsed="false" customFormat="false" customHeight="false" hidden="false" ht="12.1" outlineLevel="0" r="724">
      <c r="A724" s="39" t="n">
        <v>47925</v>
      </c>
      <c r="B724" s="16" t="s">
        <v>887</v>
      </c>
      <c r="C724" s="16" t="s">
        <v>153</v>
      </c>
      <c r="D724" s="16" t="s">
        <v>154</v>
      </c>
      <c r="E724" s="6" t="n">
        <v>1000</v>
      </c>
      <c r="F724" s="7" t="n">
        <v>34</v>
      </c>
      <c r="G724" s="6" t="n">
        <v>59.84</v>
      </c>
      <c r="H724" s="6" t="n">
        <v>264</v>
      </c>
      <c r="I724" s="6" t="n">
        <v>2034.56</v>
      </c>
      <c r="J724" s="6" t="n">
        <v>1770.56</v>
      </c>
    </row>
    <row collapsed="false" customFormat="false" customHeight="false" hidden="false" ht="12.1" outlineLevel="0" r="725">
      <c r="A725" s="39" t="n">
        <v>47932</v>
      </c>
      <c r="B725" s="16" t="s">
        <v>887</v>
      </c>
      <c r="C725" s="16" t="s">
        <v>150</v>
      </c>
      <c r="D725" s="16" t="s">
        <v>151</v>
      </c>
      <c r="E725" s="6" t="n">
        <v>1000</v>
      </c>
      <c r="F725" s="7" t="n">
        <v>45</v>
      </c>
      <c r="G725" s="6" t="n">
        <v>38.39</v>
      </c>
      <c r="H725" s="6" t="n">
        <v>225</v>
      </c>
      <c r="I725" s="6" t="n">
        <v>1727.55</v>
      </c>
      <c r="J725" s="6" t="n">
        <v>1502.55</v>
      </c>
    </row>
    <row collapsed="false" customFormat="false" customHeight="false" hidden="false" ht="12.1" outlineLevel="0" r="726">
      <c r="A726" s="39" t="n">
        <v>47953</v>
      </c>
      <c r="B726" s="16" t="s">
        <v>887</v>
      </c>
      <c r="C726" s="16" t="s">
        <v>183</v>
      </c>
      <c r="D726" s="16" t="s">
        <v>184</v>
      </c>
      <c r="E726" s="6" t="n">
        <v>1000</v>
      </c>
      <c r="F726" s="7" t="n">
        <v>9</v>
      </c>
      <c r="G726" s="6" t="n">
        <v>64.82</v>
      </c>
      <c r="H726" s="6" t="n">
        <v>76</v>
      </c>
      <c r="I726" s="6" t="n">
        <v>583.38</v>
      </c>
      <c r="J726" s="6" t="n">
        <v>507.38</v>
      </c>
    </row>
    <row collapsed="false" customFormat="false" customHeight="false" hidden="false" ht="12.1" outlineLevel="0" r="727">
      <c r="A727" s="39" t="n">
        <v>47988</v>
      </c>
      <c r="B727" s="16" t="s">
        <v>887</v>
      </c>
      <c r="C727" s="16" t="s">
        <v>159</v>
      </c>
      <c r="D727" s="16" t="s">
        <v>160</v>
      </c>
      <c r="E727" s="6" t="n">
        <v>1000</v>
      </c>
      <c r="F727" s="7" t="n">
        <v>34</v>
      </c>
      <c r="G727" s="6" t="n">
        <v>47.37</v>
      </c>
      <c r="H727" s="6" t="n">
        <v>209</v>
      </c>
      <c r="I727" s="6" t="n">
        <v>1610.58</v>
      </c>
      <c r="J727" s="6" t="n">
        <v>1401.58</v>
      </c>
    </row>
    <row collapsed="false" customFormat="false" customHeight="false" hidden="false" ht="12.1" outlineLevel="0" r="728">
      <c r="A728" s="39" t="n">
        <v>47988</v>
      </c>
      <c r="B728" s="16" t="s">
        <v>887</v>
      </c>
      <c r="C728" s="16" t="s">
        <v>168</v>
      </c>
      <c r="D728" s="16" t="s">
        <v>169</v>
      </c>
      <c r="E728" s="6" t="n">
        <v>1000</v>
      </c>
      <c r="F728" s="7" t="n">
        <v>20</v>
      </c>
      <c r="G728" s="6" t="n">
        <v>61.08</v>
      </c>
      <c r="H728" s="6" t="n">
        <v>159</v>
      </c>
      <c r="I728" s="6" t="n">
        <v>1221.6</v>
      </c>
      <c r="J728" s="6" t="n">
        <v>1062.6</v>
      </c>
    </row>
    <row collapsed="false" customFormat="false" customHeight="false" hidden="false" ht="12.1" outlineLevel="0" r="729">
      <c r="A729" s="39" t="n">
        <v>47995</v>
      </c>
      <c r="B729" s="16" t="s">
        <v>887</v>
      </c>
      <c r="C729" s="16" t="s">
        <v>141</v>
      </c>
      <c r="D729" s="16" t="s">
        <v>142</v>
      </c>
      <c r="E729" s="6" t="n">
        <v>1000</v>
      </c>
      <c r="F729" s="7" t="n">
        <v>53</v>
      </c>
      <c r="G729" s="6" t="n">
        <v>48.87</v>
      </c>
      <c r="H729" s="6" t="n">
        <v>337</v>
      </c>
      <c r="I729" s="6" t="n">
        <v>2590.11</v>
      </c>
      <c r="J729" s="6" t="n">
        <v>2253.11</v>
      </c>
    </row>
    <row collapsed="false" customFormat="false" customHeight="false" hidden="false" ht="12.1" outlineLevel="0" r="730">
      <c r="A730" s="39" t="n">
        <v>47995</v>
      </c>
      <c r="B730" s="16" t="s">
        <v>887</v>
      </c>
      <c r="C730" s="16" t="s">
        <v>134</v>
      </c>
      <c r="D730" s="16" t="s">
        <v>136</v>
      </c>
      <c r="E730" s="6" t="n">
        <v>1000</v>
      </c>
      <c r="F730" s="7" t="n">
        <v>88</v>
      </c>
      <c r="G730" s="6" t="n">
        <v>35.4</v>
      </c>
      <c r="H730" s="6" t="n">
        <v>405</v>
      </c>
      <c r="I730" s="6" t="n">
        <v>3115.2</v>
      </c>
      <c r="J730" s="6" t="n">
        <v>2710.2</v>
      </c>
    </row>
    <row collapsed="false" customFormat="false" customHeight="false" hidden="false" ht="12.1" outlineLevel="0" r="731">
      <c r="A731" s="39" t="n">
        <v>47995</v>
      </c>
      <c r="B731" s="16" t="s">
        <v>887</v>
      </c>
      <c r="C731" s="16" t="s">
        <v>165</v>
      </c>
      <c r="D731" s="16" t="s">
        <v>166</v>
      </c>
      <c r="E731" s="6" t="n">
        <v>1000</v>
      </c>
      <c r="F731" s="7" t="n">
        <v>20</v>
      </c>
      <c r="G731" s="6" t="n">
        <v>61.08</v>
      </c>
      <c r="H731" s="6" t="n">
        <v>159</v>
      </c>
      <c r="I731" s="6" t="n">
        <v>1221.6</v>
      </c>
      <c r="J731" s="6" t="n">
        <v>1062.6</v>
      </c>
    </row>
    <row collapsed="false" customFormat="false" customHeight="false" hidden="false" ht="12.1" outlineLevel="0" r="732">
      <c r="A732" s="39" t="n">
        <v>48002</v>
      </c>
      <c r="B732" s="16" t="s">
        <v>887</v>
      </c>
      <c r="C732" s="16" t="s">
        <v>234</v>
      </c>
      <c r="D732" s="16" t="s">
        <v>235</v>
      </c>
      <c r="E732" s="6" t="n">
        <v>552.59</v>
      </c>
      <c r="F732" s="7" t="n">
        <v>1</v>
      </c>
      <c r="G732" s="6" t="n">
        <v>3.69</v>
      </c>
      <c r="H732" s="6" t="n">
        <v>0</v>
      </c>
      <c r="I732" s="6" t="n">
        <v>3.69</v>
      </c>
      <c r="J732" s="6" t="n">
        <v>3.69</v>
      </c>
    </row>
    <row collapsed="false" customFormat="false" customHeight="false" hidden="false" ht="12.1" outlineLevel="0" r="733">
      <c r="A733" s="39" t="n">
        <v>48065</v>
      </c>
      <c r="B733" s="16" t="s">
        <v>887</v>
      </c>
      <c r="C733" s="16" t="s">
        <v>138</v>
      </c>
      <c r="D733" s="16" t="s">
        <v>139</v>
      </c>
      <c r="E733" s="6" t="n">
        <v>1000</v>
      </c>
      <c r="F733" s="7" t="n">
        <v>80</v>
      </c>
      <c r="G733" s="6" t="n">
        <v>34.9</v>
      </c>
      <c r="H733" s="6" t="n">
        <v>363</v>
      </c>
      <c r="I733" s="6" t="n">
        <v>2792</v>
      </c>
      <c r="J733" s="6" t="n">
        <v>2429</v>
      </c>
    </row>
    <row collapsed="false" customFormat="false" customHeight="false" hidden="false" ht="12.1" outlineLevel="0" r="734">
      <c r="A734" s="39" t="n">
        <v>48093</v>
      </c>
      <c r="B734" s="16" t="s">
        <v>887</v>
      </c>
      <c r="C734" s="16" t="s">
        <v>234</v>
      </c>
      <c r="D734" s="16" t="s">
        <v>235</v>
      </c>
      <c r="E734" s="6" t="n">
        <v>552.59</v>
      </c>
      <c r="F734" s="7" t="n">
        <v>1</v>
      </c>
      <c r="G734" s="6" t="n">
        <v>3.13</v>
      </c>
      <c r="H734" s="6" t="n">
        <v>0</v>
      </c>
      <c r="I734" s="6" t="n">
        <v>3.13</v>
      </c>
      <c r="J734" s="6" t="n">
        <v>3.13</v>
      </c>
    </row>
    <row collapsed="false" customFormat="false" customHeight="false" hidden="false" ht="12.1" outlineLevel="0" r="735">
      <c r="A735" s="39" t="n">
        <v>48107</v>
      </c>
      <c r="B735" s="16" t="s">
        <v>887</v>
      </c>
      <c r="C735" s="16" t="s">
        <v>153</v>
      </c>
      <c r="D735" s="16" t="s">
        <v>154</v>
      </c>
      <c r="E735" s="6" t="n">
        <v>1000</v>
      </c>
      <c r="F735" s="7" t="n">
        <v>34</v>
      </c>
      <c r="G735" s="6" t="n">
        <v>59.84</v>
      </c>
      <c r="H735" s="6" t="n">
        <v>264</v>
      </c>
      <c r="I735" s="6" t="n">
        <v>2034.56</v>
      </c>
      <c r="J735" s="6" t="n">
        <v>1770.56</v>
      </c>
    </row>
    <row collapsed="false" customFormat="false" customHeight="false" hidden="false" ht="12.1" outlineLevel="0" r="736">
      <c r="A736" s="39" t="n">
        <v>48107</v>
      </c>
      <c r="B736" s="16" t="s">
        <v>887</v>
      </c>
      <c r="C736" s="16" t="s">
        <v>144</v>
      </c>
      <c r="D736" s="16" t="s">
        <v>145</v>
      </c>
      <c r="E736" s="6" t="n">
        <v>1000</v>
      </c>
      <c r="F736" s="7" t="n">
        <v>40</v>
      </c>
      <c r="G736" s="6" t="n">
        <v>56.1</v>
      </c>
      <c r="H736" s="6" t="n">
        <v>292</v>
      </c>
      <c r="I736" s="6" t="n">
        <v>2244</v>
      </c>
      <c r="J736" s="6" t="n">
        <v>1952</v>
      </c>
    </row>
    <row collapsed="false" customFormat="false" customHeight="false" hidden="false" ht="12.1" outlineLevel="0" r="737">
      <c r="A737" s="39" t="n">
        <v>48114</v>
      </c>
      <c r="B737" s="16" t="s">
        <v>887</v>
      </c>
      <c r="C737" s="16" t="s">
        <v>150</v>
      </c>
      <c r="D737" s="16" t="s">
        <v>151</v>
      </c>
      <c r="E737" s="6" t="n">
        <v>1000</v>
      </c>
      <c r="F737" s="7" t="n">
        <v>45</v>
      </c>
      <c r="G737" s="6" t="n">
        <v>38.39</v>
      </c>
      <c r="H737" s="6" t="n">
        <v>225</v>
      </c>
      <c r="I737" s="6" t="n">
        <v>1727.55</v>
      </c>
      <c r="J737" s="6" t="n">
        <v>1502.55</v>
      </c>
    </row>
    <row collapsed="false" customFormat="false" customHeight="false" hidden="false" ht="12.1" outlineLevel="0" r="738">
      <c r="A738" s="39" t="n">
        <v>48135</v>
      </c>
      <c r="B738" s="16" t="s">
        <v>887</v>
      </c>
      <c r="C738" s="16" t="s">
        <v>183</v>
      </c>
      <c r="D738" s="16" t="s">
        <v>184</v>
      </c>
      <c r="E738" s="6" t="n">
        <v>1000</v>
      </c>
      <c r="F738" s="7" t="n">
        <v>9</v>
      </c>
      <c r="G738" s="6" t="n">
        <v>64.82</v>
      </c>
      <c r="H738" s="6" t="n">
        <v>76</v>
      </c>
      <c r="I738" s="6" t="n">
        <v>583.38</v>
      </c>
      <c r="J738" s="6" t="n">
        <v>507.38</v>
      </c>
    </row>
    <row collapsed="false" customFormat="false" customHeight="false" hidden="false" ht="12.1" outlineLevel="0" r="739">
      <c r="A739" s="39" t="n">
        <v>48170</v>
      </c>
      <c r="B739" s="16" t="s">
        <v>887</v>
      </c>
      <c r="C739" s="16" t="s">
        <v>159</v>
      </c>
      <c r="D739" s="16" t="s">
        <v>160</v>
      </c>
      <c r="E739" s="6" t="n">
        <v>1000</v>
      </c>
      <c r="F739" s="7" t="n">
        <v>34</v>
      </c>
      <c r="G739" s="6" t="n">
        <v>47.37</v>
      </c>
      <c r="H739" s="6" t="n">
        <v>209</v>
      </c>
      <c r="I739" s="6" t="n">
        <v>1610.58</v>
      </c>
      <c r="J739" s="6" t="n">
        <v>1401.58</v>
      </c>
    </row>
    <row collapsed="false" customFormat="false" customHeight="false" hidden="false" ht="12.1" outlineLevel="0" r="740">
      <c r="A740" s="39" t="n">
        <v>48170</v>
      </c>
      <c r="B740" s="16" t="s">
        <v>887</v>
      </c>
      <c r="C740" s="16" t="s">
        <v>168</v>
      </c>
      <c r="D740" s="16" t="s">
        <v>169</v>
      </c>
      <c r="E740" s="6" t="n">
        <v>1000</v>
      </c>
      <c r="F740" s="7" t="n">
        <v>20</v>
      </c>
      <c r="G740" s="6" t="n">
        <v>61.08</v>
      </c>
      <c r="H740" s="6" t="n">
        <v>159</v>
      </c>
      <c r="I740" s="6" t="n">
        <v>1221.6</v>
      </c>
      <c r="J740" s="6" t="n">
        <v>1062.6</v>
      </c>
    </row>
    <row collapsed="false" customFormat="false" customHeight="false" hidden="false" ht="12.1" outlineLevel="0" r="741">
      <c r="A741" s="39" t="n">
        <v>48177</v>
      </c>
      <c r="B741" s="16" t="s">
        <v>887</v>
      </c>
      <c r="C741" s="16" t="s">
        <v>134</v>
      </c>
      <c r="D741" s="16" t="s">
        <v>136</v>
      </c>
      <c r="E741" s="6" t="n">
        <v>1000</v>
      </c>
      <c r="F741" s="7" t="n">
        <v>88</v>
      </c>
      <c r="G741" s="6" t="n">
        <v>35.4</v>
      </c>
      <c r="H741" s="6" t="n">
        <v>405</v>
      </c>
      <c r="I741" s="6" t="n">
        <v>3115.2</v>
      </c>
      <c r="J741" s="6" t="n">
        <v>2710.2</v>
      </c>
    </row>
    <row collapsed="false" customFormat="false" customHeight="false" hidden="false" ht="12.1" outlineLevel="0" r="742">
      <c r="A742" s="39" t="n">
        <v>48177</v>
      </c>
      <c r="B742" s="16" t="s">
        <v>887</v>
      </c>
      <c r="C742" s="16" t="s">
        <v>141</v>
      </c>
      <c r="D742" s="16" t="s">
        <v>142</v>
      </c>
      <c r="E742" s="6" t="n">
        <v>1000</v>
      </c>
      <c r="F742" s="7" t="n">
        <v>53</v>
      </c>
      <c r="G742" s="6" t="n">
        <v>48.87</v>
      </c>
      <c r="H742" s="6" t="n">
        <v>337</v>
      </c>
      <c r="I742" s="6" t="n">
        <v>2590.11</v>
      </c>
      <c r="J742" s="6" t="n">
        <v>2253.11</v>
      </c>
    </row>
    <row collapsed="false" customFormat="false" customHeight="false" hidden="false" ht="12.1" outlineLevel="0" r="743">
      <c r="A743" s="39" t="n">
        <v>48177</v>
      </c>
      <c r="B743" s="16" t="s">
        <v>887</v>
      </c>
      <c r="C743" s="16" t="s">
        <v>165</v>
      </c>
      <c r="D743" s="16" t="s">
        <v>166</v>
      </c>
      <c r="E743" s="6" t="n">
        <v>1000</v>
      </c>
      <c r="F743" s="7" t="n">
        <v>20</v>
      </c>
      <c r="G743" s="6" t="n">
        <v>61.08</v>
      </c>
      <c r="H743" s="6" t="n">
        <v>159</v>
      </c>
      <c r="I743" s="6" t="n">
        <v>1221.6</v>
      </c>
      <c r="J743" s="6" t="n">
        <v>1062.6</v>
      </c>
    </row>
    <row collapsed="false" customFormat="false" customHeight="false" hidden="false" ht="12.1" outlineLevel="0" r="744">
      <c r="A744" s="39" t="n">
        <v>48184</v>
      </c>
      <c r="B744" s="16" t="s">
        <v>887</v>
      </c>
      <c r="C744" s="16" t="s">
        <v>234</v>
      </c>
      <c r="D744" s="16" t="s">
        <v>235</v>
      </c>
      <c r="E744" s="6" t="n">
        <v>552.59</v>
      </c>
      <c r="F744" s="7" t="n">
        <v>1</v>
      </c>
      <c r="G744" s="6" t="n">
        <v>2.54</v>
      </c>
      <c r="H744" s="6" t="n">
        <v>0</v>
      </c>
      <c r="I744" s="6" t="n">
        <v>2.54</v>
      </c>
      <c r="J744" s="6" t="n">
        <v>2.54</v>
      </c>
    </row>
    <row collapsed="false" customFormat="false" customHeight="false" hidden="false" ht="12.1" outlineLevel="0" r="745">
      <c r="A745" s="39" t="n">
        <v>48247</v>
      </c>
      <c r="B745" s="16" t="s">
        <v>887</v>
      </c>
      <c r="C745" s="16" t="s">
        <v>138</v>
      </c>
      <c r="D745" s="16" t="s">
        <v>139</v>
      </c>
      <c r="E745" s="6" t="n">
        <v>1000</v>
      </c>
      <c r="F745" s="7" t="n">
        <v>80</v>
      </c>
      <c r="G745" s="6" t="n">
        <v>34.9</v>
      </c>
      <c r="H745" s="6" t="n">
        <v>363</v>
      </c>
      <c r="I745" s="6" t="n">
        <v>2792</v>
      </c>
      <c r="J745" s="6" t="n">
        <v>2429</v>
      </c>
    </row>
    <row collapsed="false" customFormat="false" customHeight="false" hidden="false" ht="12.1" outlineLevel="0" r="746">
      <c r="A746" s="39" t="n">
        <v>48275</v>
      </c>
      <c r="B746" s="16" t="s">
        <v>887</v>
      </c>
      <c r="C746" s="16" t="s">
        <v>234</v>
      </c>
      <c r="D746" s="16" t="s">
        <v>235</v>
      </c>
      <c r="E746" s="6" t="n">
        <v>552.59</v>
      </c>
      <c r="F746" s="7" t="n">
        <v>1</v>
      </c>
      <c r="G746" s="6" t="n">
        <v>1.93</v>
      </c>
      <c r="H746" s="6" t="n">
        <v>0</v>
      </c>
      <c r="I746" s="6" t="n">
        <v>1.93</v>
      </c>
      <c r="J746" s="6" t="n">
        <v>1.93</v>
      </c>
    </row>
    <row collapsed="false" customFormat="false" customHeight="false" hidden="false" ht="12.1" outlineLevel="0" r="747">
      <c r="A747" s="39" t="n">
        <v>48289</v>
      </c>
      <c r="B747" s="16" t="s">
        <v>887</v>
      </c>
      <c r="C747" s="16" t="s">
        <v>144</v>
      </c>
      <c r="D747" s="16" t="s">
        <v>145</v>
      </c>
      <c r="E747" s="6" t="n">
        <v>1000</v>
      </c>
      <c r="F747" s="7" t="n">
        <v>40</v>
      </c>
      <c r="G747" s="6" t="n">
        <v>56.1</v>
      </c>
      <c r="H747" s="6" t="n">
        <v>292</v>
      </c>
      <c r="I747" s="6" t="n">
        <v>2244</v>
      </c>
      <c r="J747" s="6" t="n">
        <v>1952</v>
      </c>
    </row>
    <row collapsed="false" customFormat="false" customHeight="false" hidden="false" ht="12.1" outlineLevel="0" r="748">
      <c r="A748" s="39" t="n">
        <v>48289</v>
      </c>
      <c r="B748" s="16" t="s">
        <v>887</v>
      </c>
      <c r="C748" s="16" t="s">
        <v>153</v>
      </c>
      <c r="D748" s="16" t="s">
        <v>154</v>
      </c>
      <c r="E748" s="6" t="n">
        <v>1000</v>
      </c>
      <c r="F748" s="7" t="n">
        <v>34</v>
      </c>
      <c r="G748" s="6" t="n">
        <v>59.84</v>
      </c>
      <c r="H748" s="6" t="n">
        <v>264</v>
      </c>
      <c r="I748" s="6" t="n">
        <v>2034.56</v>
      </c>
      <c r="J748" s="6" t="n">
        <v>1770.56</v>
      </c>
    </row>
    <row collapsed="false" customFormat="false" customHeight="false" hidden="false" ht="12.1" outlineLevel="0" r="749">
      <c r="A749" s="39" t="n">
        <v>48296</v>
      </c>
      <c r="B749" s="16" t="s">
        <v>887</v>
      </c>
      <c r="C749" s="16" t="s">
        <v>150</v>
      </c>
      <c r="D749" s="16" t="s">
        <v>151</v>
      </c>
      <c r="E749" s="6" t="n">
        <v>1000</v>
      </c>
      <c r="F749" s="7" t="n">
        <v>45</v>
      </c>
      <c r="G749" s="6" t="n">
        <v>38.39</v>
      </c>
      <c r="H749" s="6" t="n">
        <v>225</v>
      </c>
      <c r="I749" s="6" t="n">
        <v>1727.55</v>
      </c>
      <c r="J749" s="6" t="n">
        <v>1502.55</v>
      </c>
    </row>
    <row collapsed="false" customFormat="false" customHeight="false" hidden="false" ht="12.1" outlineLevel="0" r="750">
      <c r="A750" s="39" t="n">
        <v>48317</v>
      </c>
      <c r="B750" s="16" t="s">
        <v>887</v>
      </c>
      <c r="C750" s="16" t="s">
        <v>183</v>
      </c>
      <c r="D750" s="16" t="s">
        <v>184</v>
      </c>
      <c r="E750" s="6" t="n">
        <v>1000</v>
      </c>
      <c r="F750" s="7" t="n">
        <v>9</v>
      </c>
      <c r="G750" s="6" t="n">
        <v>64.82</v>
      </c>
      <c r="H750" s="6" t="n">
        <v>76</v>
      </c>
      <c r="I750" s="6" t="n">
        <v>583.38</v>
      </c>
      <c r="J750" s="6" t="n">
        <v>507.38</v>
      </c>
    </row>
    <row collapsed="false" customFormat="false" customHeight="false" hidden="false" ht="12.1" outlineLevel="0" r="751">
      <c r="A751" s="39" t="n">
        <v>48352</v>
      </c>
      <c r="B751" s="16" t="s">
        <v>887</v>
      </c>
      <c r="C751" s="16" t="s">
        <v>159</v>
      </c>
      <c r="D751" s="16" t="s">
        <v>160</v>
      </c>
      <c r="E751" s="6" t="n">
        <v>1000</v>
      </c>
      <c r="F751" s="7" t="n">
        <v>34</v>
      </c>
      <c r="G751" s="6" t="n">
        <v>47.37</v>
      </c>
      <c r="H751" s="6" t="n">
        <v>209</v>
      </c>
      <c r="I751" s="6" t="n">
        <v>1610.58</v>
      </c>
      <c r="J751" s="6" t="n">
        <v>1401.58</v>
      </c>
    </row>
    <row collapsed="false" customFormat="false" customHeight="false" hidden="false" ht="12.1" outlineLevel="0" r="752">
      <c r="A752" s="39" t="n">
        <v>48352</v>
      </c>
      <c r="B752" s="16" t="s">
        <v>887</v>
      </c>
      <c r="C752" s="16" t="s">
        <v>168</v>
      </c>
      <c r="D752" s="16" t="s">
        <v>169</v>
      </c>
      <c r="E752" s="6" t="n">
        <v>1000</v>
      </c>
      <c r="F752" s="7" t="n">
        <v>20</v>
      </c>
      <c r="G752" s="6" t="n">
        <v>61.08</v>
      </c>
      <c r="H752" s="6" t="n">
        <v>159</v>
      </c>
      <c r="I752" s="6" t="n">
        <v>1221.6</v>
      </c>
      <c r="J752" s="6" t="n">
        <v>1062.6</v>
      </c>
    </row>
    <row collapsed="false" customFormat="false" customHeight="false" hidden="false" ht="12.1" outlineLevel="0" r="753">
      <c r="A753" s="39" t="n">
        <v>48359</v>
      </c>
      <c r="B753" s="16" t="s">
        <v>887</v>
      </c>
      <c r="C753" s="16" t="s">
        <v>165</v>
      </c>
      <c r="D753" s="16" t="s">
        <v>166</v>
      </c>
      <c r="E753" s="6" t="n">
        <v>1000</v>
      </c>
      <c r="F753" s="7" t="n">
        <v>20</v>
      </c>
      <c r="G753" s="6" t="n">
        <v>61.08</v>
      </c>
      <c r="H753" s="6" t="n">
        <v>159</v>
      </c>
      <c r="I753" s="6" t="n">
        <v>1221.6</v>
      </c>
      <c r="J753" s="6" t="n">
        <v>1062.6</v>
      </c>
    </row>
    <row collapsed="false" customFormat="false" customHeight="false" hidden="false" ht="12.1" outlineLevel="0" r="754">
      <c r="A754" s="39" t="n">
        <v>48359</v>
      </c>
      <c r="B754" s="16" t="s">
        <v>887</v>
      </c>
      <c r="C754" s="16" t="s">
        <v>134</v>
      </c>
      <c r="D754" s="16" t="s">
        <v>136</v>
      </c>
      <c r="E754" s="6" t="n">
        <v>1000</v>
      </c>
      <c r="F754" s="7" t="n">
        <v>88</v>
      </c>
      <c r="G754" s="6" t="n">
        <v>35.4</v>
      </c>
      <c r="H754" s="6" t="n">
        <v>405</v>
      </c>
      <c r="I754" s="6" t="n">
        <v>3115.2</v>
      </c>
      <c r="J754" s="6" t="n">
        <v>2710.2</v>
      </c>
    </row>
    <row collapsed="false" customFormat="false" customHeight="false" hidden="false" ht="12.1" outlineLevel="0" r="755">
      <c r="A755" s="39" t="n">
        <v>48359</v>
      </c>
      <c r="B755" s="16" t="s">
        <v>887</v>
      </c>
      <c r="C755" s="16" t="s">
        <v>141</v>
      </c>
      <c r="D755" s="16" t="s">
        <v>142</v>
      </c>
      <c r="E755" s="6" t="n">
        <v>1000</v>
      </c>
      <c r="F755" s="7" t="n">
        <v>53</v>
      </c>
      <c r="G755" s="6" t="n">
        <v>48.87</v>
      </c>
      <c r="H755" s="6" t="n">
        <v>337</v>
      </c>
      <c r="I755" s="6" t="n">
        <v>2590.11</v>
      </c>
      <c r="J755" s="6" t="n">
        <v>2253.11</v>
      </c>
    </row>
    <row collapsed="false" customFormat="false" customHeight="false" hidden="false" ht="12.1" outlineLevel="0" r="756">
      <c r="A756" s="39" t="n">
        <v>48366</v>
      </c>
      <c r="B756" s="16" t="s">
        <v>887</v>
      </c>
      <c r="C756" s="16" t="s">
        <v>234</v>
      </c>
      <c r="D756" s="16" t="s">
        <v>235</v>
      </c>
      <c r="E756" s="6" t="n">
        <v>552.59</v>
      </c>
      <c r="F756" s="7" t="n">
        <v>1</v>
      </c>
      <c r="G756" s="6" t="n">
        <v>1.31</v>
      </c>
      <c r="H756" s="6" t="n">
        <v>0</v>
      </c>
      <c r="I756" s="6" t="n">
        <v>1.31</v>
      </c>
      <c r="J756" s="6" t="n">
        <v>1.31</v>
      </c>
    </row>
    <row collapsed="false" customFormat="false" customHeight="false" hidden="false" ht="12.1" outlineLevel="0" r="757">
      <c r="A757" s="39" t="n">
        <v>48429</v>
      </c>
      <c r="B757" s="16" t="s">
        <v>887</v>
      </c>
      <c r="C757" s="16" t="s">
        <v>138</v>
      </c>
      <c r="D757" s="16" t="s">
        <v>139</v>
      </c>
      <c r="E757" s="6" t="n">
        <v>1000</v>
      </c>
      <c r="F757" s="7" t="n">
        <v>80</v>
      </c>
      <c r="G757" s="6" t="n">
        <v>34.9</v>
      </c>
      <c r="H757" s="6" t="n">
        <v>363</v>
      </c>
      <c r="I757" s="6" t="n">
        <v>2792</v>
      </c>
      <c r="J757" s="6" t="n">
        <v>2429</v>
      </c>
    </row>
    <row collapsed="false" customFormat="false" customHeight="false" hidden="false" ht="12.1" outlineLevel="0" r="758">
      <c r="A758" s="39" t="n">
        <v>48457</v>
      </c>
      <c r="B758" s="16" t="s">
        <v>887</v>
      </c>
      <c r="C758" s="16" t="s">
        <v>234</v>
      </c>
      <c r="D758" s="16" t="s">
        <v>235</v>
      </c>
      <c r="E758" s="6" t="n">
        <v>552.59</v>
      </c>
      <c r="F758" s="7" t="n">
        <v>1</v>
      </c>
      <c r="G758" s="6" t="n">
        <v>0.67</v>
      </c>
      <c r="H758" s="6" t="n">
        <v>0</v>
      </c>
      <c r="I758" s="6" t="n">
        <v>0.67</v>
      </c>
      <c r="J758" s="6" t="n">
        <v>0.67</v>
      </c>
    </row>
    <row collapsed="false" customFormat="false" customHeight="false" hidden="false" ht="12.1" outlineLevel="0" r="759">
      <c r="A759" s="39" t="n">
        <v>48471</v>
      </c>
      <c r="B759" s="16" t="s">
        <v>887</v>
      </c>
      <c r="C759" s="16" t="s">
        <v>144</v>
      </c>
      <c r="D759" s="16" t="s">
        <v>145</v>
      </c>
      <c r="E759" s="6" t="n">
        <v>1000</v>
      </c>
      <c r="F759" s="7" t="n">
        <v>40</v>
      </c>
      <c r="G759" s="6" t="n">
        <v>56.1</v>
      </c>
      <c r="H759" s="6" t="n">
        <v>292</v>
      </c>
      <c r="I759" s="6" t="n">
        <v>2244</v>
      </c>
      <c r="J759" s="6" t="n">
        <v>1952</v>
      </c>
    </row>
    <row collapsed="false" customFormat="false" customHeight="false" hidden="false" ht="12.1" outlineLevel="0" r="760">
      <c r="A760" s="39" t="n">
        <v>48471</v>
      </c>
      <c r="B760" s="16" t="s">
        <v>887</v>
      </c>
      <c r="C760" s="16" t="s">
        <v>153</v>
      </c>
      <c r="D760" s="16" t="s">
        <v>154</v>
      </c>
      <c r="E760" s="6" t="n">
        <v>1000</v>
      </c>
      <c r="F760" s="7" t="n">
        <v>34</v>
      </c>
      <c r="G760" s="6" t="n">
        <v>59.84</v>
      </c>
      <c r="H760" s="6" t="n">
        <v>264</v>
      </c>
      <c r="I760" s="6" t="n">
        <v>2034.56</v>
      </c>
      <c r="J760" s="6" t="n">
        <v>1770.56</v>
      </c>
    </row>
    <row collapsed="false" customFormat="false" customHeight="false" hidden="false" ht="12.1" outlineLevel="0" r="761">
      <c r="A761" s="39" t="n">
        <v>48478</v>
      </c>
      <c r="B761" s="16" t="s">
        <v>887</v>
      </c>
      <c r="C761" s="16" t="s">
        <v>150</v>
      </c>
      <c r="D761" s="16" t="s">
        <v>151</v>
      </c>
      <c r="E761" s="6" t="n">
        <v>1000</v>
      </c>
      <c r="F761" s="7" t="n">
        <v>45</v>
      </c>
      <c r="G761" s="6" t="n">
        <v>38.39</v>
      </c>
      <c r="H761" s="6" t="n">
        <v>225</v>
      </c>
      <c r="I761" s="6" t="n">
        <v>1727.55</v>
      </c>
      <c r="J761" s="6" t="n">
        <v>1502.55</v>
      </c>
    </row>
    <row collapsed="false" customFormat="false" customHeight="false" hidden="false" ht="12.1" outlineLevel="0" r="762">
      <c r="A762" s="39" t="n">
        <v>48499</v>
      </c>
      <c r="B762" s="16" t="s">
        <v>887</v>
      </c>
      <c r="C762" s="16" t="s">
        <v>183</v>
      </c>
      <c r="D762" s="16" t="s">
        <v>184</v>
      </c>
      <c r="E762" s="6" t="n">
        <v>1000</v>
      </c>
      <c r="F762" s="7" t="n">
        <v>9</v>
      </c>
      <c r="G762" s="6" t="n">
        <v>64.82</v>
      </c>
      <c r="H762" s="6" t="n">
        <v>76</v>
      </c>
      <c r="I762" s="6" t="n">
        <v>583.38</v>
      </c>
      <c r="J762" s="6" t="n">
        <v>507.38</v>
      </c>
    </row>
    <row collapsed="false" customFormat="false" customHeight="false" hidden="false" ht="12.1" outlineLevel="0" r="763">
      <c r="A763" s="39" t="n">
        <v>48534</v>
      </c>
      <c r="B763" s="16" t="s">
        <v>887</v>
      </c>
      <c r="C763" s="16" t="s">
        <v>168</v>
      </c>
      <c r="D763" s="16" t="s">
        <v>169</v>
      </c>
      <c r="E763" s="6" t="n">
        <v>1000</v>
      </c>
      <c r="F763" s="7" t="n">
        <v>20</v>
      </c>
      <c r="G763" s="6" t="n">
        <v>61.08</v>
      </c>
      <c r="H763" s="6" t="n">
        <v>159</v>
      </c>
      <c r="I763" s="6" t="n">
        <v>1221.6</v>
      </c>
      <c r="J763" s="6" t="n">
        <v>1062.6</v>
      </c>
    </row>
    <row collapsed="false" customFormat="false" customHeight="false" hidden="false" ht="12.1" outlineLevel="0" r="764">
      <c r="A764" s="39" t="n">
        <v>48534</v>
      </c>
      <c r="B764" s="16" t="s">
        <v>887</v>
      </c>
      <c r="C764" s="16" t="s">
        <v>159</v>
      </c>
      <c r="D764" s="16" t="s">
        <v>160</v>
      </c>
      <c r="E764" s="6" t="n">
        <v>1000</v>
      </c>
      <c r="F764" s="7" t="n">
        <v>34</v>
      </c>
      <c r="G764" s="6" t="n">
        <v>47.37</v>
      </c>
      <c r="H764" s="6" t="n">
        <v>209</v>
      </c>
      <c r="I764" s="6" t="n">
        <v>1610.58</v>
      </c>
      <c r="J764" s="6" t="n">
        <v>1401.58</v>
      </c>
    </row>
    <row collapsed="false" customFormat="false" customHeight="false" hidden="false" ht="12.1" outlineLevel="0" r="765">
      <c r="A765" s="39" t="n">
        <v>48541</v>
      </c>
      <c r="B765" s="16" t="s">
        <v>887</v>
      </c>
      <c r="C765" s="16" t="s">
        <v>165</v>
      </c>
      <c r="D765" s="16" t="s">
        <v>166</v>
      </c>
      <c r="E765" s="6" t="n">
        <v>1000</v>
      </c>
      <c r="F765" s="7" t="n">
        <v>20</v>
      </c>
      <c r="G765" s="6" t="n">
        <v>61.08</v>
      </c>
      <c r="H765" s="6" t="n">
        <v>159</v>
      </c>
      <c r="I765" s="6" t="n">
        <v>1221.6</v>
      </c>
      <c r="J765" s="6" t="n">
        <v>1062.6</v>
      </c>
    </row>
    <row collapsed="false" customFormat="false" customHeight="false" hidden="false" ht="12.1" outlineLevel="0" r="766">
      <c r="A766" s="39" t="n">
        <v>48541</v>
      </c>
      <c r="B766" s="16" t="s">
        <v>887</v>
      </c>
      <c r="C766" s="16" t="s">
        <v>141</v>
      </c>
      <c r="D766" s="16" t="s">
        <v>142</v>
      </c>
      <c r="E766" s="6" t="n">
        <v>1000</v>
      </c>
      <c r="F766" s="7" t="n">
        <v>53</v>
      </c>
      <c r="G766" s="6" t="n">
        <v>48.87</v>
      </c>
      <c r="H766" s="6" t="n">
        <v>337</v>
      </c>
      <c r="I766" s="6" t="n">
        <v>2590.11</v>
      </c>
      <c r="J766" s="6" t="n">
        <v>2253.11</v>
      </c>
    </row>
    <row collapsed="false" customFormat="false" customHeight="false" hidden="false" ht="12.1" outlineLevel="0" r="767">
      <c r="A767" s="39" t="n">
        <v>48541</v>
      </c>
      <c r="B767" s="16" t="s">
        <v>887</v>
      </c>
      <c r="C767" s="16" t="s">
        <v>134</v>
      </c>
      <c r="D767" s="16" t="s">
        <v>136</v>
      </c>
      <c r="E767" s="6" t="n">
        <v>1000</v>
      </c>
      <c r="F767" s="7" t="n">
        <v>88</v>
      </c>
      <c r="G767" s="6" t="n">
        <v>35.4</v>
      </c>
      <c r="H767" s="6" t="n">
        <v>405</v>
      </c>
      <c r="I767" s="6" t="n">
        <v>3115.2</v>
      </c>
      <c r="J767" s="6" t="n">
        <v>2710.2</v>
      </c>
    </row>
    <row collapsed="false" customFormat="false" customHeight="false" hidden="false" ht="12.1" outlineLevel="0" r="768">
      <c r="A768" s="39" t="n">
        <v>48611</v>
      </c>
      <c r="B768" s="16" t="s">
        <v>887</v>
      </c>
      <c r="C768" s="16" t="s">
        <v>138</v>
      </c>
      <c r="D768" s="16" t="s">
        <v>139</v>
      </c>
      <c r="E768" s="6" t="n">
        <v>1000</v>
      </c>
      <c r="F768" s="7" t="n">
        <v>80</v>
      </c>
      <c r="G768" s="6" t="n">
        <v>34.9</v>
      </c>
      <c r="H768" s="6" t="n">
        <v>363</v>
      </c>
      <c r="I768" s="6" t="n">
        <v>2792</v>
      </c>
      <c r="J768" s="6" t="n">
        <v>2429</v>
      </c>
    </row>
    <row collapsed="false" customFormat="false" customHeight="false" hidden="false" ht="12.1" outlineLevel="0" r="769">
      <c r="A769" s="39" t="n">
        <v>48653</v>
      </c>
      <c r="B769" s="16" t="s">
        <v>887</v>
      </c>
      <c r="C769" s="16" t="s">
        <v>144</v>
      </c>
      <c r="D769" s="16" t="s">
        <v>145</v>
      </c>
      <c r="E769" s="6" t="n">
        <v>1000</v>
      </c>
      <c r="F769" s="7" t="n">
        <v>40</v>
      </c>
      <c r="G769" s="6" t="n">
        <v>56.1</v>
      </c>
      <c r="H769" s="6" t="n">
        <v>292</v>
      </c>
      <c r="I769" s="6" t="n">
        <v>2244</v>
      </c>
      <c r="J769" s="6" t="n">
        <v>1952</v>
      </c>
    </row>
    <row collapsed="false" customFormat="false" customHeight="false" hidden="false" ht="12.1" outlineLevel="0" r="770">
      <c r="A770" s="39" t="n">
        <v>48653</v>
      </c>
      <c r="B770" s="16" t="s">
        <v>887</v>
      </c>
      <c r="C770" s="16" t="s">
        <v>153</v>
      </c>
      <c r="D770" s="16" t="s">
        <v>154</v>
      </c>
      <c r="E770" s="6" t="n">
        <v>1000</v>
      </c>
      <c r="F770" s="7" t="n">
        <v>34</v>
      </c>
      <c r="G770" s="6" t="n">
        <v>59.84</v>
      </c>
      <c r="H770" s="6" t="n">
        <v>264</v>
      </c>
      <c r="I770" s="6" t="n">
        <v>2034.56</v>
      </c>
      <c r="J770" s="6" t="n">
        <v>1770.56</v>
      </c>
    </row>
    <row collapsed="false" customFormat="false" customHeight="false" hidden="false" ht="12.1" outlineLevel="0" r="771">
      <c r="A771" s="39" t="n">
        <v>48660</v>
      </c>
      <c r="B771" s="16" t="s">
        <v>887</v>
      </c>
      <c r="C771" s="16" t="s">
        <v>150</v>
      </c>
      <c r="D771" s="16" t="s">
        <v>151</v>
      </c>
      <c r="E771" s="6" t="n">
        <v>1000</v>
      </c>
      <c r="F771" s="7" t="n">
        <v>45</v>
      </c>
      <c r="G771" s="6" t="n">
        <v>38.39</v>
      </c>
      <c r="H771" s="6" t="n">
        <v>225</v>
      </c>
      <c r="I771" s="6" t="n">
        <v>1727.55</v>
      </c>
      <c r="J771" s="6" t="n">
        <v>1502.55</v>
      </c>
    </row>
    <row collapsed="false" customFormat="false" customHeight="false" hidden="false" ht="12.1" outlineLevel="0" r="772">
      <c r="A772" s="39" t="n">
        <v>48681</v>
      </c>
      <c r="B772" s="16" t="s">
        <v>887</v>
      </c>
      <c r="C772" s="16" t="s">
        <v>183</v>
      </c>
      <c r="D772" s="16" t="s">
        <v>184</v>
      </c>
      <c r="E772" s="6" t="n">
        <v>1000</v>
      </c>
      <c r="F772" s="7" t="n">
        <v>9</v>
      </c>
      <c r="G772" s="6" t="n">
        <v>64.82</v>
      </c>
      <c r="H772" s="6" t="n">
        <v>76</v>
      </c>
      <c r="I772" s="6" t="n">
        <v>583.38</v>
      </c>
      <c r="J772" s="6" t="n">
        <v>507.38</v>
      </c>
    </row>
    <row collapsed="false" customFormat="false" customHeight="false" hidden="false" ht="12.1" outlineLevel="0" r="773">
      <c r="A773" s="39" t="n">
        <v>48716</v>
      </c>
      <c r="B773" s="16" t="s">
        <v>887</v>
      </c>
      <c r="C773" s="16" t="s">
        <v>168</v>
      </c>
      <c r="D773" s="16" t="s">
        <v>169</v>
      </c>
      <c r="E773" s="6" t="n">
        <v>1000</v>
      </c>
      <c r="F773" s="7" t="n">
        <v>20</v>
      </c>
      <c r="G773" s="6" t="n">
        <v>61.08</v>
      </c>
      <c r="H773" s="6" t="n">
        <v>159</v>
      </c>
      <c r="I773" s="6" t="n">
        <v>1221.6</v>
      </c>
      <c r="J773" s="6" t="n">
        <v>1062.6</v>
      </c>
    </row>
    <row collapsed="false" customFormat="false" customHeight="false" hidden="false" ht="12.1" outlineLevel="0" r="774">
      <c r="A774" s="39" t="n">
        <v>48723</v>
      </c>
      <c r="B774" s="16" t="s">
        <v>887</v>
      </c>
      <c r="C774" s="16" t="s">
        <v>141</v>
      </c>
      <c r="D774" s="16" t="s">
        <v>142</v>
      </c>
      <c r="E774" s="6" t="n">
        <v>1000</v>
      </c>
      <c r="F774" s="7" t="n">
        <v>53</v>
      </c>
      <c r="G774" s="6" t="n">
        <v>48.87</v>
      </c>
      <c r="H774" s="6" t="n">
        <v>337</v>
      </c>
      <c r="I774" s="6" t="n">
        <v>2590.11</v>
      </c>
      <c r="J774" s="6" t="n">
        <v>2253.11</v>
      </c>
    </row>
    <row collapsed="false" customFormat="false" customHeight="false" hidden="false" ht="12.1" outlineLevel="0" r="775">
      <c r="A775" s="39" t="n">
        <v>48723</v>
      </c>
      <c r="B775" s="16" t="s">
        <v>887</v>
      </c>
      <c r="C775" s="16" t="s">
        <v>165</v>
      </c>
      <c r="D775" s="16" t="s">
        <v>166</v>
      </c>
      <c r="E775" s="6" t="n">
        <v>1000</v>
      </c>
      <c r="F775" s="7" t="n">
        <v>20</v>
      </c>
      <c r="G775" s="6" t="n">
        <v>61.08</v>
      </c>
      <c r="H775" s="6" t="n">
        <v>159</v>
      </c>
      <c r="I775" s="6" t="n">
        <v>1221.6</v>
      </c>
      <c r="J775" s="6" t="n">
        <v>1062.6</v>
      </c>
    </row>
    <row collapsed="false" customFormat="false" customHeight="false" hidden="false" ht="12.1" outlineLevel="0" r="776">
      <c r="A776" s="39" t="n">
        <v>48723</v>
      </c>
      <c r="B776" s="16" t="s">
        <v>887</v>
      </c>
      <c r="C776" s="16" t="s">
        <v>134</v>
      </c>
      <c r="D776" s="16" t="s">
        <v>136</v>
      </c>
      <c r="E776" s="6" t="n">
        <v>1000</v>
      </c>
      <c r="F776" s="7" t="n">
        <v>88</v>
      </c>
      <c r="G776" s="6" t="n">
        <v>35.4</v>
      </c>
      <c r="H776" s="6" t="n">
        <v>405</v>
      </c>
      <c r="I776" s="6" t="n">
        <v>3115.2</v>
      </c>
      <c r="J776" s="6" t="n">
        <v>2710.2</v>
      </c>
    </row>
    <row collapsed="false" customFormat="false" customHeight="false" hidden="false" ht="12.1" outlineLevel="0" r="777">
      <c r="A777" s="39" t="n">
        <v>48793</v>
      </c>
      <c r="B777" s="16" t="s">
        <v>887</v>
      </c>
      <c r="C777" s="16" t="s">
        <v>138</v>
      </c>
      <c r="D777" s="16" t="s">
        <v>139</v>
      </c>
      <c r="E777" s="6" t="n">
        <v>1000</v>
      </c>
      <c r="F777" s="7" t="n">
        <v>80</v>
      </c>
      <c r="G777" s="6" t="n">
        <v>34.9</v>
      </c>
      <c r="H777" s="6" t="n">
        <v>363</v>
      </c>
      <c r="I777" s="6" t="n">
        <v>2792</v>
      </c>
      <c r="J777" s="6" t="n">
        <v>2429</v>
      </c>
    </row>
    <row collapsed="false" customFormat="false" customHeight="false" hidden="false" ht="12.1" outlineLevel="0" r="778">
      <c r="A778" s="39" t="n">
        <v>48835</v>
      </c>
      <c r="B778" s="16" t="s">
        <v>887</v>
      </c>
      <c r="C778" s="16" t="s">
        <v>144</v>
      </c>
      <c r="D778" s="16" t="s">
        <v>145</v>
      </c>
      <c r="E778" s="6" t="n">
        <v>1000</v>
      </c>
      <c r="F778" s="7" t="n">
        <v>40</v>
      </c>
      <c r="G778" s="6" t="n">
        <v>56.1</v>
      </c>
      <c r="H778" s="6" t="n">
        <v>292</v>
      </c>
      <c r="I778" s="6" t="n">
        <v>2244</v>
      </c>
      <c r="J778" s="6" t="n">
        <v>1952</v>
      </c>
    </row>
    <row collapsed="false" customFormat="false" customHeight="false" hidden="false" ht="12.1" outlineLevel="0" r="779">
      <c r="A779" s="39" t="n">
        <v>48835</v>
      </c>
      <c r="B779" s="16" t="s">
        <v>887</v>
      </c>
      <c r="C779" s="16" t="s">
        <v>153</v>
      </c>
      <c r="D779" s="16" t="s">
        <v>154</v>
      </c>
      <c r="E779" s="6" t="n">
        <v>1000</v>
      </c>
      <c r="F779" s="7" t="n">
        <v>34</v>
      </c>
      <c r="G779" s="6" t="n">
        <v>59.84</v>
      </c>
      <c r="H779" s="6" t="n">
        <v>264</v>
      </c>
      <c r="I779" s="6" t="n">
        <v>2034.56</v>
      </c>
      <c r="J779" s="6" t="n">
        <v>1770.56</v>
      </c>
    </row>
    <row collapsed="false" customFormat="false" customHeight="false" hidden="false" ht="12.1" outlineLevel="0" r="780">
      <c r="A780" s="39" t="n">
        <v>48863</v>
      </c>
      <c r="B780" s="16" t="s">
        <v>887</v>
      </c>
      <c r="C780" s="16" t="s">
        <v>183</v>
      </c>
      <c r="D780" s="16" t="s">
        <v>184</v>
      </c>
      <c r="E780" s="6" t="n">
        <v>1000</v>
      </c>
      <c r="F780" s="7" t="n">
        <v>9</v>
      </c>
      <c r="G780" s="6" t="n">
        <v>64.82</v>
      </c>
      <c r="H780" s="6" t="n">
        <v>76</v>
      </c>
      <c r="I780" s="6" t="n">
        <v>583.38</v>
      </c>
      <c r="J780" s="6" t="n">
        <v>507.38</v>
      </c>
    </row>
    <row collapsed="false" customFormat="false" customHeight="false" hidden="false" ht="12.1" outlineLevel="0" r="781">
      <c r="A781" s="39" t="n">
        <v>48898</v>
      </c>
      <c r="B781" s="16" t="s">
        <v>887</v>
      </c>
      <c r="C781" s="16" t="s">
        <v>168</v>
      </c>
      <c r="D781" s="16" t="s">
        <v>169</v>
      </c>
      <c r="E781" s="6" t="n">
        <v>1000</v>
      </c>
      <c r="F781" s="7" t="n">
        <v>20</v>
      </c>
      <c r="G781" s="6" t="n">
        <v>61.08</v>
      </c>
      <c r="H781" s="6" t="n">
        <v>159</v>
      </c>
      <c r="I781" s="6" t="n">
        <v>1221.6</v>
      </c>
      <c r="J781" s="6" t="n">
        <v>1062.6</v>
      </c>
    </row>
    <row collapsed="false" customFormat="false" customHeight="false" hidden="false" ht="12.1" outlineLevel="0" r="782">
      <c r="A782" s="39" t="n">
        <v>48905</v>
      </c>
      <c r="B782" s="16" t="s">
        <v>887</v>
      </c>
      <c r="C782" s="16" t="s">
        <v>141</v>
      </c>
      <c r="D782" s="16" t="s">
        <v>142</v>
      </c>
      <c r="E782" s="6" t="n">
        <v>1000</v>
      </c>
      <c r="F782" s="7" t="n">
        <v>53</v>
      </c>
      <c r="G782" s="6" t="n">
        <v>48.87</v>
      </c>
      <c r="H782" s="6" t="n">
        <v>337</v>
      </c>
      <c r="I782" s="6" t="n">
        <v>2590.11</v>
      </c>
      <c r="J782" s="6" t="n">
        <v>2253.11</v>
      </c>
    </row>
    <row collapsed="false" customFormat="false" customHeight="false" hidden="false" ht="12.1" outlineLevel="0" r="783">
      <c r="A783" s="39" t="n">
        <v>48905</v>
      </c>
      <c r="B783" s="16" t="s">
        <v>887</v>
      </c>
      <c r="C783" s="16" t="s">
        <v>165</v>
      </c>
      <c r="D783" s="16" t="s">
        <v>166</v>
      </c>
      <c r="E783" s="6" t="n">
        <v>1000</v>
      </c>
      <c r="F783" s="7" t="n">
        <v>20</v>
      </c>
      <c r="G783" s="6" t="n">
        <v>61.08</v>
      </c>
      <c r="H783" s="6" t="n">
        <v>159</v>
      </c>
      <c r="I783" s="6" t="n">
        <v>1221.6</v>
      </c>
      <c r="J783" s="6" t="n">
        <v>1062.6</v>
      </c>
    </row>
    <row collapsed="false" customFormat="false" customHeight="false" hidden="false" ht="12.1" outlineLevel="0" r="784">
      <c r="A784" s="39" t="n">
        <v>48905</v>
      </c>
      <c r="B784" s="16" t="s">
        <v>887</v>
      </c>
      <c r="C784" s="16" t="s">
        <v>134</v>
      </c>
      <c r="D784" s="16" t="s">
        <v>136</v>
      </c>
      <c r="E784" s="6" t="n">
        <v>1000</v>
      </c>
      <c r="F784" s="7" t="n">
        <v>88</v>
      </c>
      <c r="G784" s="6" t="n">
        <v>35.4</v>
      </c>
      <c r="H784" s="6" t="n">
        <v>405</v>
      </c>
      <c r="I784" s="6" t="n">
        <v>3115.2</v>
      </c>
      <c r="J784" s="6" t="n">
        <v>2710.2</v>
      </c>
    </row>
    <row collapsed="false" customFormat="false" customHeight="false" hidden="false" ht="12.1" outlineLevel="0" r="785">
      <c r="A785" s="39" t="n">
        <v>48975</v>
      </c>
      <c r="B785" s="16" t="s">
        <v>887</v>
      </c>
      <c r="C785" s="16" t="s">
        <v>138</v>
      </c>
      <c r="D785" s="16" t="s">
        <v>139</v>
      </c>
      <c r="E785" s="6" t="n">
        <v>1000</v>
      </c>
      <c r="F785" s="7" t="n">
        <v>80</v>
      </c>
      <c r="G785" s="6" t="n">
        <v>34.9</v>
      </c>
      <c r="H785" s="6" t="n">
        <v>363</v>
      </c>
      <c r="I785" s="6" t="n">
        <v>2792</v>
      </c>
      <c r="J785" s="6" t="n">
        <v>2429</v>
      </c>
    </row>
    <row collapsed="false" customFormat="false" customHeight="false" hidden="false" ht="12.1" outlineLevel="0" r="786">
      <c r="A786" s="39" t="n">
        <v>49017</v>
      </c>
      <c r="B786" s="16" t="s">
        <v>887</v>
      </c>
      <c r="C786" s="16" t="s">
        <v>153</v>
      </c>
      <c r="D786" s="16" t="s">
        <v>154</v>
      </c>
      <c r="E786" s="6" t="n">
        <v>1000</v>
      </c>
      <c r="F786" s="7" t="n">
        <v>34</v>
      </c>
      <c r="G786" s="6" t="n">
        <v>59.84</v>
      </c>
      <c r="H786" s="6" t="n">
        <v>264</v>
      </c>
      <c r="I786" s="6" t="n">
        <v>2034.56</v>
      </c>
      <c r="J786" s="6" t="n">
        <v>1770.56</v>
      </c>
    </row>
    <row collapsed="false" customFormat="false" customHeight="false" hidden="false" ht="12.1" outlineLevel="0" r="787">
      <c r="A787" s="39" t="n">
        <v>49017</v>
      </c>
      <c r="B787" s="16" t="s">
        <v>887</v>
      </c>
      <c r="C787" s="16" t="s">
        <v>144</v>
      </c>
      <c r="D787" s="16" t="s">
        <v>145</v>
      </c>
      <c r="E787" s="6" t="n">
        <v>1000</v>
      </c>
      <c r="F787" s="7" t="n">
        <v>40</v>
      </c>
      <c r="G787" s="6" t="n">
        <v>56.1</v>
      </c>
      <c r="H787" s="6" t="n">
        <v>292</v>
      </c>
      <c r="I787" s="6" t="n">
        <v>2244</v>
      </c>
      <c r="J787" s="6" t="n">
        <v>1952</v>
      </c>
    </row>
    <row collapsed="false" customFormat="false" customHeight="false" hidden="false" ht="12.1" outlineLevel="0" r="788">
      <c r="A788" s="39" t="n">
        <v>49045</v>
      </c>
      <c r="B788" s="16" t="s">
        <v>887</v>
      </c>
      <c r="C788" s="16" t="s">
        <v>183</v>
      </c>
      <c r="D788" s="16" t="s">
        <v>184</v>
      </c>
      <c r="E788" s="6" t="n">
        <v>1000</v>
      </c>
      <c r="F788" s="7" t="n">
        <v>9</v>
      </c>
      <c r="G788" s="6" t="n">
        <v>64.82</v>
      </c>
      <c r="H788" s="6" t="n">
        <v>76</v>
      </c>
      <c r="I788" s="6" t="n">
        <v>583.38</v>
      </c>
      <c r="J788" s="6" t="n">
        <v>507.38</v>
      </c>
    </row>
    <row collapsed="false" customFormat="false" customHeight="false" hidden="false" ht="12.1" outlineLevel="0" r="789">
      <c r="A789" s="39" t="n">
        <v>49080</v>
      </c>
      <c r="B789" s="16" t="s">
        <v>887</v>
      </c>
      <c r="C789" s="16" t="s">
        <v>168</v>
      </c>
      <c r="D789" s="16" t="s">
        <v>169</v>
      </c>
      <c r="E789" s="6" t="n">
        <v>1000</v>
      </c>
      <c r="F789" s="7" t="n">
        <v>20</v>
      </c>
      <c r="G789" s="6" t="n">
        <v>61.08</v>
      </c>
      <c r="H789" s="6" t="n">
        <v>159</v>
      </c>
      <c r="I789" s="6" t="n">
        <v>1221.6</v>
      </c>
      <c r="J789" s="6" t="n">
        <v>1062.6</v>
      </c>
    </row>
    <row collapsed="false" customFormat="false" customHeight="false" hidden="false" ht="12.1" outlineLevel="0" r="790">
      <c r="A790" s="39" t="n">
        <v>49087</v>
      </c>
      <c r="B790" s="16" t="s">
        <v>887</v>
      </c>
      <c r="C790" s="16" t="s">
        <v>134</v>
      </c>
      <c r="D790" s="16" t="s">
        <v>136</v>
      </c>
      <c r="E790" s="6" t="n">
        <v>1000</v>
      </c>
      <c r="F790" s="7" t="n">
        <v>88</v>
      </c>
      <c r="G790" s="6" t="n">
        <v>35.4</v>
      </c>
      <c r="H790" s="6" t="n">
        <v>405</v>
      </c>
      <c r="I790" s="6" t="n">
        <v>3115.2</v>
      </c>
      <c r="J790" s="6" t="n">
        <v>2710.2</v>
      </c>
    </row>
    <row collapsed="false" customFormat="false" customHeight="false" hidden="false" ht="12.1" outlineLevel="0" r="791">
      <c r="A791" s="39" t="n">
        <v>49087</v>
      </c>
      <c r="B791" s="16" t="s">
        <v>887</v>
      </c>
      <c r="C791" s="16" t="s">
        <v>141</v>
      </c>
      <c r="D791" s="16" t="s">
        <v>142</v>
      </c>
      <c r="E791" s="6" t="n">
        <v>1000</v>
      </c>
      <c r="F791" s="7" t="n">
        <v>53</v>
      </c>
      <c r="G791" s="6" t="n">
        <v>48.87</v>
      </c>
      <c r="H791" s="6" t="n">
        <v>337</v>
      </c>
      <c r="I791" s="6" t="n">
        <v>2590.11</v>
      </c>
      <c r="J791" s="6" t="n">
        <v>2253.11</v>
      </c>
    </row>
    <row collapsed="false" customFormat="false" customHeight="false" hidden="false" ht="12.1" outlineLevel="0" r="792">
      <c r="A792" s="39" t="n">
        <v>49087</v>
      </c>
      <c r="B792" s="16" t="s">
        <v>887</v>
      </c>
      <c r="C792" s="16" t="s">
        <v>165</v>
      </c>
      <c r="D792" s="16" t="s">
        <v>166</v>
      </c>
      <c r="E792" s="6" t="n">
        <v>1000</v>
      </c>
      <c r="F792" s="7" t="n">
        <v>20</v>
      </c>
      <c r="G792" s="6" t="n">
        <v>61.08</v>
      </c>
      <c r="H792" s="6" t="n">
        <v>159</v>
      </c>
      <c r="I792" s="6" t="n">
        <v>1221.6</v>
      </c>
      <c r="J792" s="6" t="n">
        <v>1062.6</v>
      </c>
    </row>
    <row collapsed="false" customFormat="false" customHeight="false" hidden="false" ht="12.1" outlineLevel="0" r="793">
      <c r="A793" s="39" t="n">
        <v>49157</v>
      </c>
      <c r="B793" s="16" t="s">
        <v>887</v>
      </c>
      <c r="C793" s="16" t="s">
        <v>138</v>
      </c>
      <c r="D793" s="16" t="s">
        <v>139</v>
      </c>
      <c r="E793" s="6" t="n">
        <v>1000</v>
      </c>
      <c r="F793" s="7" t="n">
        <v>80</v>
      </c>
      <c r="G793" s="6" t="n">
        <v>34.9</v>
      </c>
      <c r="H793" s="6" t="n">
        <v>363</v>
      </c>
      <c r="I793" s="6" t="n">
        <v>2792</v>
      </c>
      <c r="J793" s="6" t="n">
        <v>2429</v>
      </c>
    </row>
    <row collapsed="false" customFormat="false" customHeight="false" hidden="false" ht="12.1" outlineLevel="0" r="794">
      <c r="A794" s="39" t="n">
        <v>49199</v>
      </c>
      <c r="B794" s="16" t="s">
        <v>887</v>
      </c>
      <c r="C794" s="16" t="s">
        <v>153</v>
      </c>
      <c r="D794" s="16" t="s">
        <v>154</v>
      </c>
      <c r="E794" s="6" t="n">
        <v>1000</v>
      </c>
      <c r="F794" s="7" t="n">
        <v>34</v>
      </c>
      <c r="G794" s="6" t="n">
        <v>59.84</v>
      </c>
      <c r="H794" s="6" t="n">
        <v>264</v>
      </c>
      <c r="I794" s="6" t="n">
        <v>2034.56</v>
      </c>
      <c r="J794" s="6" t="n">
        <v>1770.56</v>
      </c>
    </row>
    <row collapsed="false" customFormat="false" customHeight="false" hidden="false" ht="12.1" outlineLevel="0" r="795">
      <c r="A795" s="39" t="n">
        <v>49227</v>
      </c>
      <c r="B795" s="16" t="s">
        <v>887</v>
      </c>
      <c r="C795" s="16" t="s">
        <v>183</v>
      </c>
      <c r="D795" s="16" t="s">
        <v>184</v>
      </c>
      <c r="E795" s="6" t="n">
        <v>1000</v>
      </c>
      <c r="F795" s="7" t="n">
        <v>9</v>
      </c>
      <c r="G795" s="6" t="n">
        <v>64.82</v>
      </c>
      <c r="H795" s="6" t="n">
        <v>76</v>
      </c>
      <c r="I795" s="6" t="n">
        <v>583.38</v>
      </c>
      <c r="J795" s="6" t="n">
        <v>507.38</v>
      </c>
    </row>
    <row collapsed="false" customFormat="false" customHeight="false" hidden="false" ht="12.1" outlineLevel="0" r="796">
      <c r="A796" s="39" t="n">
        <v>49262</v>
      </c>
      <c r="B796" s="16" t="s">
        <v>887</v>
      </c>
      <c r="C796" s="16" t="s">
        <v>168</v>
      </c>
      <c r="D796" s="16" t="s">
        <v>169</v>
      </c>
      <c r="E796" s="6" t="n">
        <v>1000</v>
      </c>
      <c r="F796" s="7" t="n">
        <v>20</v>
      </c>
      <c r="G796" s="6" t="n">
        <v>61.08</v>
      </c>
      <c r="H796" s="6" t="n">
        <v>159</v>
      </c>
      <c r="I796" s="6" t="n">
        <v>1221.6</v>
      </c>
      <c r="J796" s="6" t="n">
        <v>1062.6</v>
      </c>
    </row>
    <row collapsed="false" customFormat="false" customHeight="false" hidden="false" ht="12.1" outlineLevel="0" r="797">
      <c r="A797" s="39" t="n">
        <v>49269</v>
      </c>
      <c r="B797" s="16" t="s">
        <v>887</v>
      </c>
      <c r="C797" s="16" t="s">
        <v>134</v>
      </c>
      <c r="D797" s="16" t="s">
        <v>136</v>
      </c>
      <c r="E797" s="6" t="n">
        <v>1000</v>
      </c>
      <c r="F797" s="7" t="n">
        <v>88</v>
      </c>
      <c r="G797" s="6" t="n">
        <v>35.4</v>
      </c>
      <c r="H797" s="6" t="n">
        <v>405</v>
      </c>
      <c r="I797" s="6" t="n">
        <v>3115.2</v>
      </c>
      <c r="J797" s="6" t="n">
        <v>2710.2</v>
      </c>
    </row>
    <row collapsed="false" customFormat="false" customHeight="false" hidden="false" ht="12.1" outlineLevel="0" r="798">
      <c r="A798" s="39" t="n">
        <v>49269</v>
      </c>
      <c r="B798" s="16" t="s">
        <v>887</v>
      </c>
      <c r="C798" s="16" t="s">
        <v>165</v>
      </c>
      <c r="D798" s="16" t="s">
        <v>166</v>
      </c>
      <c r="E798" s="6" t="n">
        <v>1000</v>
      </c>
      <c r="F798" s="7" t="n">
        <v>20</v>
      </c>
      <c r="G798" s="6" t="n">
        <v>61.08</v>
      </c>
      <c r="H798" s="6" t="n">
        <v>159</v>
      </c>
      <c r="I798" s="6" t="n">
        <v>1221.6</v>
      </c>
      <c r="J798" s="6" t="n">
        <v>1062.6</v>
      </c>
    </row>
    <row collapsed="false" customFormat="false" customHeight="false" hidden="false" ht="12.1" outlineLevel="0" r="799">
      <c r="A799" s="39" t="n">
        <v>49269</v>
      </c>
      <c r="B799" s="16" t="s">
        <v>887</v>
      </c>
      <c r="C799" s="16" t="s">
        <v>141</v>
      </c>
      <c r="D799" s="16" t="s">
        <v>142</v>
      </c>
      <c r="E799" s="6" t="n">
        <v>1000</v>
      </c>
      <c r="F799" s="7" t="n">
        <v>53</v>
      </c>
      <c r="G799" s="6" t="n">
        <v>48.87</v>
      </c>
      <c r="H799" s="6" t="n">
        <v>337</v>
      </c>
      <c r="I799" s="6" t="n">
        <v>2590.11</v>
      </c>
      <c r="J799" s="6" t="n">
        <v>2253.11</v>
      </c>
    </row>
    <row collapsed="false" customFormat="false" customHeight="false" hidden="false" ht="12.1" outlineLevel="0" r="800">
      <c r="A800" s="39" t="n">
        <v>49339</v>
      </c>
      <c r="B800" s="16" t="s">
        <v>887</v>
      </c>
      <c r="C800" s="16" t="s">
        <v>138</v>
      </c>
      <c r="D800" s="16" t="s">
        <v>139</v>
      </c>
      <c r="E800" s="6" t="n">
        <v>1000</v>
      </c>
      <c r="F800" s="7" t="n">
        <v>80</v>
      </c>
      <c r="G800" s="6" t="n">
        <v>34.9</v>
      </c>
      <c r="H800" s="6" t="n">
        <v>363</v>
      </c>
      <c r="I800" s="6" t="n">
        <v>2792</v>
      </c>
      <c r="J800" s="6" t="n">
        <v>2429</v>
      </c>
    </row>
    <row collapsed="false" customFormat="false" customHeight="false" hidden="false" ht="12.1" outlineLevel="0" r="801">
      <c r="A801" s="39" t="n">
        <v>49381</v>
      </c>
      <c r="B801" s="16" t="s">
        <v>887</v>
      </c>
      <c r="C801" s="16" t="s">
        <v>153</v>
      </c>
      <c r="D801" s="16" t="s">
        <v>154</v>
      </c>
      <c r="E801" s="6" t="n">
        <v>1000</v>
      </c>
      <c r="F801" s="7" t="n">
        <v>34</v>
      </c>
      <c r="G801" s="6" t="n">
        <v>59.84</v>
      </c>
      <c r="H801" s="6" t="n">
        <v>264</v>
      </c>
      <c r="I801" s="6" t="n">
        <v>2034.56</v>
      </c>
      <c r="J801" s="6" t="n">
        <v>1770.56</v>
      </c>
    </row>
    <row collapsed="false" customFormat="false" customHeight="false" hidden="false" ht="12.1" outlineLevel="0" r="802">
      <c r="A802" s="39" t="n">
        <v>49409</v>
      </c>
      <c r="B802" s="16" t="s">
        <v>887</v>
      </c>
      <c r="C802" s="16" t="s">
        <v>183</v>
      </c>
      <c r="D802" s="16" t="s">
        <v>184</v>
      </c>
      <c r="E802" s="6" t="n">
        <v>1000</v>
      </c>
      <c r="F802" s="7" t="n">
        <v>9</v>
      </c>
      <c r="G802" s="6" t="n">
        <v>64.82</v>
      </c>
      <c r="H802" s="6" t="n">
        <v>76</v>
      </c>
      <c r="I802" s="6" t="n">
        <v>583.38</v>
      </c>
      <c r="J802" s="6" t="n">
        <v>507.38</v>
      </c>
    </row>
    <row collapsed="false" customFormat="false" customHeight="false" hidden="false" ht="12.1" outlineLevel="0" r="803">
      <c r="A803" s="39" t="n">
        <v>49444</v>
      </c>
      <c r="B803" s="16" t="s">
        <v>887</v>
      </c>
      <c r="C803" s="16" t="s">
        <v>168</v>
      </c>
      <c r="D803" s="16" t="s">
        <v>169</v>
      </c>
      <c r="E803" s="6" t="n">
        <v>1000</v>
      </c>
      <c r="F803" s="7" t="n">
        <v>20</v>
      </c>
      <c r="G803" s="6" t="n">
        <v>61.08</v>
      </c>
      <c r="H803" s="6" t="n">
        <v>159</v>
      </c>
      <c r="I803" s="6" t="n">
        <v>1221.6</v>
      </c>
      <c r="J803" s="6" t="n">
        <v>1062.6</v>
      </c>
    </row>
    <row collapsed="false" customFormat="false" customHeight="false" hidden="false" ht="12.1" outlineLevel="0" r="804">
      <c r="A804" s="39" t="n">
        <v>49451</v>
      </c>
      <c r="B804" s="16" t="s">
        <v>887</v>
      </c>
      <c r="C804" s="16" t="s">
        <v>134</v>
      </c>
      <c r="D804" s="16" t="s">
        <v>136</v>
      </c>
      <c r="E804" s="6" t="n">
        <v>1000</v>
      </c>
      <c r="F804" s="7" t="n">
        <v>88</v>
      </c>
      <c r="G804" s="6" t="n">
        <v>35.4</v>
      </c>
      <c r="H804" s="6" t="n">
        <v>405</v>
      </c>
      <c r="I804" s="6" t="n">
        <v>3115.2</v>
      </c>
      <c r="J804" s="6" t="n">
        <v>2710.2</v>
      </c>
    </row>
    <row collapsed="false" customFormat="false" customHeight="false" hidden="false" ht="12.1" outlineLevel="0" r="805">
      <c r="A805" s="39" t="n">
        <v>49451</v>
      </c>
      <c r="B805" s="16" t="s">
        <v>887</v>
      </c>
      <c r="C805" s="16" t="s">
        <v>141</v>
      </c>
      <c r="D805" s="16" t="s">
        <v>142</v>
      </c>
      <c r="E805" s="6" t="n">
        <v>1000</v>
      </c>
      <c r="F805" s="7" t="n">
        <v>53</v>
      </c>
      <c r="G805" s="6" t="n">
        <v>48.87</v>
      </c>
      <c r="H805" s="6" t="n">
        <v>337</v>
      </c>
      <c r="I805" s="6" t="n">
        <v>2590.11</v>
      </c>
      <c r="J805" s="6" t="n">
        <v>2253.11</v>
      </c>
    </row>
    <row collapsed="false" customFormat="false" customHeight="false" hidden="false" ht="12.1" outlineLevel="0" r="806">
      <c r="A806" s="39" t="n">
        <v>49451</v>
      </c>
      <c r="B806" s="16" t="s">
        <v>887</v>
      </c>
      <c r="C806" s="16" t="s">
        <v>165</v>
      </c>
      <c r="D806" s="16" t="s">
        <v>166</v>
      </c>
      <c r="E806" s="6" t="n">
        <v>1000</v>
      </c>
      <c r="F806" s="7" t="n">
        <v>20</v>
      </c>
      <c r="G806" s="6" t="n">
        <v>61.08</v>
      </c>
      <c r="H806" s="6" t="n">
        <v>159</v>
      </c>
      <c r="I806" s="6" t="n">
        <v>1221.6</v>
      </c>
      <c r="J806" s="6" t="n">
        <v>1062.6</v>
      </c>
    </row>
    <row collapsed="false" customFormat="false" customHeight="false" hidden="false" ht="12.1" outlineLevel="0" r="807">
      <c r="A807" s="39" t="n">
        <v>49521</v>
      </c>
      <c r="B807" s="16" t="s">
        <v>887</v>
      </c>
      <c r="C807" s="16" t="s">
        <v>138</v>
      </c>
      <c r="D807" s="16" t="s">
        <v>139</v>
      </c>
      <c r="E807" s="6" t="n">
        <v>1000</v>
      </c>
      <c r="F807" s="7" t="n">
        <v>80</v>
      </c>
      <c r="G807" s="6" t="n">
        <v>34.9</v>
      </c>
      <c r="H807" s="6" t="n">
        <v>363</v>
      </c>
      <c r="I807" s="6" t="n">
        <v>2792</v>
      </c>
      <c r="J807" s="6" t="n">
        <v>2429</v>
      </c>
    </row>
    <row collapsed="false" customFormat="false" customHeight="false" hidden="false" ht="12.1" outlineLevel="0" r="808">
      <c r="A808" s="39" t="n">
        <v>49563</v>
      </c>
      <c r="B808" s="16" t="s">
        <v>887</v>
      </c>
      <c r="C808" s="16" t="s">
        <v>153</v>
      </c>
      <c r="D808" s="16" t="s">
        <v>154</v>
      </c>
      <c r="E808" s="6" t="n">
        <v>1000</v>
      </c>
      <c r="F808" s="7" t="n">
        <v>34</v>
      </c>
      <c r="G808" s="6" t="n">
        <v>59.84</v>
      </c>
      <c r="H808" s="6" t="n">
        <v>264</v>
      </c>
      <c r="I808" s="6" t="n">
        <v>2034.56</v>
      </c>
      <c r="J808" s="6" t="n">
        <v>1770.56</v>
      </c>
    </row>
    <row collapsed="false" customFormat="false" customHeight="false" hidden="false" ht="12.1" outlineLevel="0" r="809">
      <c r="A809" s="39" t="n">
        <v>49591</v>
      </c>
      <c r="B809" s="16" t="s">
        <v>887</v>
      </c>
      <c r="C809" s="16" t="s">
        <v>183</v>
      </c>
      <c r="D809" s="16" t="s">
        <v>184</v>
      </c>
      <c r="E809" s="6" t="n">
        <v>1000</v>
      </c>
      <c r="F809" s="7" t="n">
        <v>9</v>
      </c>
      <c r="G809" s="6" t="n">
        <v>64.82</v>
      </c>
      <c r="H809" s="6" t="n">
        <v>76</v>
      </c>
      <c r="I809" s="6" t="n">
        <v>583.38</v>
      </c>
      <c r="J809" s="6" t="n">
        <v>507.38</v>
      </c>
    </row>
    <row collapsed="false" customFormat="false" customHeight="false" hidden="false" ht="12.1" outlineLevel="0" r="810">
      <c r="A810" s="39" t="n">
        <v>49626</v>
      </c>
      <c r="B810" s="16" t="s">
        <v>887</v>
      </c>
      <c r="C810" s="16" t="s">
        <v>168</v>
      </c>
      <c r="D810" s="16" t="s">
        <v>169</v>
      </c>
      <c r="E810" s="6" t="n">
        <v>1000</v>
      </c>
      <c r="F810" s="7" t="n">
        <v>20</v>
      </c>
      <c r="G810" s="6" t="n">
        <v>61.08</v>
      </c>
      <c r="H810" s="6" t="n">
        <v>159</v>
      </c>
      <c r="I810" s="6" t="n">
        <v>1221.6</v>
      </c>
      <c r="J810" s="6" t="n">
        <v>1062.6</v>
      </c>
    </row>
    <row collapsed="false" customFormat="false" customHeight="false" hidden="false" ht="12.1" outlineLevel="0" r="811">
      <c r="A811" s="39" t="n">
        <v>49633</v>
      </c>
      <c r="B811" s="16" t="s">
        <v>887</v>
      </c>
      <c r="C811" s="16" t="s">
        <v>134</v>
      </c>
      <c r="D811" s="16" t="s">
        <v>136</v>
      </c>
      <c r="E811" s="6" t="n">
        <v>1000</v>
      </c>
      <c r="F811" s="7" t="n">
        <v>88</v>
      </c>
      <c r="G811" s="6" t="n">
        <v>35.4</v>
      </c>
      <c r="H811" s="6" t="n">
        <v>405</v>
      </c>
      <c r="I811" s="6" t="n">
        <v>3115.2</v>
      </c>
      <c r="J811" s="6" t="n">
        <v>2710.2</v>
      </c>
    </row>
    <row collapsed="false" customFormat="false" customHeight="false" hidden="false" ht="12.1" outlineLevel="0" r="812">
      <c r="A812" s="39" t="n">
        <v>49633</v>
      </c>
      <c r="B812" s="16" t="s">
        <v>887</v>
      </c>
      <c r="C812" s="16" t="s">
        <v>165</v>
      </c>
      <c r="D812" s="16" t="s">
        <v>166</v>
      </c>
      <c r="E812" s="6" t="n">
        <v>1000</v>
      </c>
      <c r="F812" s="7" t="n">
        <v>20</v>
      </c>
      <c r="G812" s="6" t="n">
        <v>61.08</v>
      </c>
      <c r="H812" s="6" t="n">
        <v>159</v>
      </c>
      <c r="I812" s="6" t="n">
        <v>1221.6</v>
      </c>
      <c r="J812" s="6" t="n">
        <v>1062.6</v>
      </c>
    </row>
    <row collapsed="false" customFormat="false" customHeight="false" hidden="false" ht="12.1" outlineLevel="0" r="813">
      <c r="A813" s="39" t="n">
        <v>49633</v>
      </c>
      <c r="B813" s="16" t="s">
        <v>887</v>
      </c>
      <c r="C813" s="16" t="s">
        <v>141</v>
      </c>
      <c r="D813" s="16" t="s">
        <v>142</v>
      </c>
      <c r="E813" s="6" t="n">
        <v>1000</v>
      </c>
      <c r="F813" s="7" t="n">
        <v>53</v>
      </c>
      <c r="G813" s="6" t="n">
        <v>48.87</v>
      </c>
      <c r="H813" s="6" t="n">
        <v>337</v>
      </c>
      <c r="I813" s="6" t="n">
        <v>2590.11</v>
      </c>
      <c r="J813" s="6" t="n">
        <v>2253.11</v>
      </c>
    </row>
    <row collapsed="false" customFormat="false" customHeight="false" hidden="false" ht="12.1" outlineLevel="0" r="814">
      <c r="A814" s="39" t="n">
        <v>49703</v>
      </c>
      <c r="B814" s="16" t="s">
        <v>887</v>
      </c>
      <c r="C814" s="16" t="s">
        <v>138</v>
      </c>
      <c r="D814" s="16" t="s">
        <v>139</v>
      </c>
      <c r="E814" s="6" t="n">
        <v>1000</v>
      </c>
      <c r="F814" s="7" t="n">
        <v>80</v>
      </c>
      <c r="G814" s="6" t="n">
        <v>34.9</v>
      </c>
      <c r="H814" s="6" t="n">
        <v>363</v>
      </c>
      <c r="I814" s="6" t="n">
        <v>2792</v>
      </c>
      <c r="J814" s="6" t="n">
        <v>2429</v>
      </c>
    </row>
    <row collapsed="false" customFormat="false" customHeight="false" hidden="false" ht="12.1" outlineLevel="0" r="815">
      <c r="A815" s="39" t="n">
        <v>49745</v>
      </c>
      <c r="B815" s="16" t="s">
        <v>887</v>
      </c>
      <c r="C815" s="16" t="s">
        <v>153</v>
      </c>
      <c r="D815" s="16" t="s">
        <v>154</v>
      </c>
      <c r="E815" s="6" t="n">
        <v>1000</v>
      </c>
      <c r="F815" s="7" t="n">
        <v>34</v>
      </c>
      <c r="G815" s="6" t="n">
        <v>59.84</v>
      </c>
      <c r="H815" s="6" t="n">
        <v>264</v>
      </c>
      <c r="I815" s="6" t="n">
        <v>2034.56</v>
      </c>
      <c r="J815" s="6" t="n">
        <v>1770.56</v>
      </c>
    </row>
    <row collapsed="false" customFormat="false" customHeight="false" hidden="false" ht="12.1" outlineLevel="0" r="816">
      <c r="A816" s="39" t="n">
        <v>49773</v>
      </c>
      <c r="B816" s="16" t="s">
        <v>887</v>
      </c>
      <c r="C816" s="16" t="s">
        <v>183</v>
      </c>
      <c r="D816" s="16" t="s">
        <v>184</v>
      </c>
      <c r="E816" s="6" t="n">
        <v>1000</v>
      </c>
      <c r="F816" s="7" t="n">
        <v>9</v>
      </c>
      <c r="G816" s="6" t="n">
        <v>64.82</v>
      </c>
      <c r="H816" s="6" t="n">
        <v>76</v>
      </c>
      <c r="I816" s="6" t="n">
        <v>583.38</v>
      </c>
      <c r="J816" s="6" t="n">
        <v>507.38</v>
      </c>
    </row>
    <row collapsed="false" customFormat="false" customHeight="false" hidden="false" ht="12.1" outlineLevel="0" r="817">
      <c r="A817" s="39" t="n">
        <v>49808</v>
      </c>
      <c r="B817" s="16" t="s">
        <v>887</v>
      </c>
      <c r="C817" s="16" t="s">
        <v>168</v>
      </c>
      <c r="D817" s="16" t="s">
        <v>169</v>
      </c>
      <c r="E817" s="6" t="n">
        <v>1000</v>
      </c>
      <c r="F817" s="7" t="n">
        <v>20</v>
      </c>
      <c r="G817" s="6" t="n">
        <v>61.08</v>
      </c>
      <c r="H817" s="6" t="n">
        <v>159</v>
      </c>
      <c r="I817" s="6" t="n">
        <v>1221.6</v>
      </c>
      <c r="J817" s="6" t="n">
        <v>1062.6</v>
      </c>
    </row>
    <row collapsed="false" customFormat="false" customHeight="false" hidden="false" ht="12.1" outlineLevel="0" r="818">
      <c r="A818" s="39" t="n">
        <v>49815</v>
      </c>
      <c r="B818" s="16" t="s">
        <v>887</v>
      </c>
      <c r="C818" s="16" t="s">
        <v>134</v>
      </c>
      <c r="D818" s="16" t="s">
        <v>136</v>
      </c>
      <c r="E818" s="6" t="n">
        <v>1000</v>
      </c>
      <c r="F818" s="7" t="n">
        <v>88</v>
      </c>
      <c r="G818" s="6" t="n">
        <v>35.4</v>
      </c>
      <c r="H818" s="6" t="n">
        <v>405</v>
      </c>
      <c r="I818" s="6" t="n">
        <v>3115.2</v>
      </c>
      <c r="J818" s="6" t="n">
        <v>2710.2</v>
      </c>
    </row>
    <row collapsed="false" customFormat="false" customHeight="false" hidden="false" ht="12.1" outlineLevel="0" r="819">
      <c r="A819" s="39" t="n">
        <v>49815</v>
      </c>
      <c r="B819" s="16" t="s">
        <v>887</v>
      </c>
      <c r="C819" s="16" t="s">
        <v>165</v>
      </c>
      <c r="D819" s="16" t="s">
        <v>166</v>
      </c>
      <c r="E819" s="6" t="n">
        <v>1000</v>
      </c>
      <c r="F819" s="7" t="n">
        <v>20</v>
      </c>
      <c r="G819" s="6" t="n">
        <v>61.08</v>
      </c>
      <c r="H819" s="6" t="n">
        <v>159</v>
      </c>
      <c r="I819" s="6" t="n">
        <v>1221.6</v>
      </c>
      <c r="J819" s="6" t="n">
        <v>1062.6</v>
      </c>
    </row>
    <row collapsed="false" customFormat="false" customHeight="false" hidden="false" ht="12.1" outlineLevel="0" r="820">
      <c r="A820" s="39" t="n">
        <v>49815</v>
      </c>
      <c r="B820" s="16" t="s">
        <v>887</v>
      </c>
      <c r="C820" s="16" t="s">
        <v>141</v>
      </c>
      <c r="D820" s="16" t="s">
        <v>142</v>
      </c>
      <c r="E820" s="6" t="n">
        <v>1000</v>
      </c>
      <c r="F820" s="7" t="n">
        <v>53</v>
      </c>
      <c r="G820" s="6" t="n">
        <v>48.87</v>
      </c>
      <c r="H820" s="6" t="n">
        <v>337</v>
      </c>
      <c r="I820" s="6" t="n">
        <v>2590.11</v>
      </c>
      <c r="J820" s="6" t="n">
        <v>2253.11</v>
      </c>
    </row>
    <row collapsed="false" customFormat="false" customHeight="false" hidden="false" ht="12.1" outlineLevel="0" r="821">
      <c r="A821" s="39" t="n">
        <v>49885</v>
      </c>
      <c r="B821" s="16" t="s">
        <v>887</v>
      </c>
      <c r="C821" s="16" t="s">
        <v>138</v>
      </c>
      <c r="D821" s="16" t="s">
        <v>139</v>
      </c>
      <c r="E821" s="6" t="n">
        <v>1000</v>
      </c>
      <c r="F821" s="7" t="n">
        <v>80</v>
      </c>
      <c r="G821" s="6" t="n">
        <v>34.9</v>
      </c>
      <c r="H821" s="6" t="n">
        <v>363</v>
      </c>
      <c r="I821" s="6" t="n">
        <v>2792</v>
      </c>
      <c r="J821" s="6" t="n">
        <v>2429</v>
      </c>
    </row>
    <row collapsed="false" customFormat="false" customHeight="false" hidden="false" ht="12.1" outlineLevel="0" r="822">
      <c r="A822" s="39" t="n">
        <v>49955</v>
      </c>
      <c r="B822" s="16" t="s">
        <v>887</v>
      </c>
      <c r="C822" s="16" t="s">
        <v>183</v>
      </c>
      <c r="D822" s="16" t="s">
        <v>184</v>
      </c>
      <c r="E822" s="6" t="n">
        <v>1000</v>
      </c>
      <c r="F822" s="7" t="n">
        <v>9</v>
      </c>
      <c r="G822" s="6" t="n">
        <v>64.82</v>
      </c>
      <c r="H822" s="6" t="n">
        <v>76</v>
      </c>
      <c r="I822" s="6" t="n">
        <v>583.38</v>
      </c>
      <c r="J822" s="6" t="n">
        <v>507.38</v>
      </c>
    </row>
    <row collapsed="false" customFormat="false" customHeight="false" hidden="false" ht="12.1" outlineLevel="0" r="823">
      <c r="A823" s="39" t="n">
        <v>49990</v>
      </c>
      <c r="B823" s="16" t="s">
        <v>887</v>
      </c>
      <c r="C823" s="16" t="s">
        <v>168</v>
      </c>
      <c r="D823" s="16" t="s">
        <v>169</v>
      </c>
      <c r="E823" s="6" t="n">
        <v>1000</v>
      </c>
      <c r="F823" s="7" t="n">
        <v>20</v>
      </c>
      <c r="G823" s="6" t="n">
        <v>61.08</v>
      </c>
      <c r="H823" s="6" t="n">
        <v>159</v>
      </c>
      <c r="I823" s="6" t="n">
        <v>1221.6</v>
      </c>
      <c r="J823" s="6" t="n">
        <v>1062.6</v>
      </c>
    </row>
    <row collapsed="false" customFormat="false" customHeight="false" hidden="false" ht="12.1" outlineLevel="0" r="824">
      <c r="A824" s="39" t="n">
        <v>49997</v>
      </c>
      <c r="B824" s="16" t="s">
        <v>887</v>
      </c>
      <c r="C824" s="16" t="s">
        <v>141</v>
      </c>
      <c r="D824" s="16" t="s">
        <v>142</v>
      </c>
      <c r="E824" s="6" t="n">
        <v>1000</v>
      </c>
      <c r="F824" s="7" t="n">
        <v>53</v>
      </c>
      <c r="G824" s="6" t="n">
        <v>48.87</v>
      </c>
      <c r="H824" s="6" t="n">
        <v>337</v>
      </c>
      <c r="I824" s="6" t="n">
        <v>2590.11</v>
      </c>
      <c r="J824" s="6" t="n">
        <v>2253.11</v>
      </c>
    </row>
    <row collapsed="false" customFormat="false" customHeight="false" hidden="false" ht="12.1" outlineLevel="0" r="825">
      <c r="A825" s="39" t="n">
        <v>49997</v>
      </c>
      <c r="B825" s="16" t="s">
        <v>887</v>
      </c>
      <c r="C825" s="16" t="s">
        <v>165</v>
      </c>
      <c r="D825" s="16" t="s">
        <v>166</v>
      </c>
      <c r="E825" s="6" t="n">
        <v>1000</v>
      </c>
      <c r="F825" s="7" t="n">
        <v>20</v>
      </c>
      <c r="G825" s="6" t="n">
        <v>61.08</v>
      </c>
      <c r="H825" s="6" t="n">
        <v>159</v>
      </c>
      <c r="I825" s="6" t="n">
        <v>1221.6</v>
      </c>
      <c r="J825" s="6" t="n">
        <v>1062.6</v>
      </c>
    </row>
    <row collapsed="false" customFormat="false" customHeight="false" hidden="false" ht="12.1" outlineLevel="0" r="826">
      <c r="A826" s="39" t="n">
        <v>49997</v>
      </c>
      <c r="B826" s="16" t="s">
        <v>887</v>
      </c>
      <c r="C826" s="16" t="s">
        <v>134</v>
      </c>
      <c r="D826" s="16" t="s">
        <v>136</v>
      </c>
      <c r="E826" s="6" t="n">
        <v>1000</v>
      </c>
      <c r="F826" s="7" t="n">
        <v>88</v>
      </c>
      <c r="G826" s="6" t="n">
        <v>35.4</v>
      </c>
      <c r="H826" s="6" t="n">
        <v>405</v>
      </c>
      <c r="I826" s="6" t="n">
        <v>3115.2</v>
      </c>
      <c r="J826" s="6" t="n">
        <v>2710.2</v>
      </c>
    </row>
    <row collapsed="false" customFormat="false" customHeight="false" hidden="false" ht="12.1" outlineLevel="0" r="827">
      <c r="A827" s="39" t="n">
        <v>50137</v>
      </c>
      <c r="B827" s="16" t="s">
        <v>887</v>
      </c>
      <c r="C827" s="16" t="s">
        <v>183</v>
      </c>
      <c r="D827" s="16" t="s">
        <v>184</v>
      </c>
      <c r="E827" s="6" t="n">
        <v>1000</v>
      </c>
      <c r="F827" s="7" t="n">
        <v>9</v>
      </c>
      <c r="G827" s="6" t="n">
        <v>64.82</v>
      </c>
      <c r="H827" s="6" t="n">
        <v>76</v>
      </c>
      <c r="I827" s="6" t="n">
        <v>583.38</v>
      </c>
      <c r="J827" s="6" t="n">
        <v>507.38</v>
      </c>
    </row>
    <row collapsed="false" customFormat="false" customHeight="false" hidden="false" ht="12.1" outlineLevel="0" r="828">
      <c r="A828" s="39" t="n">
        <v>50172</v>
      </c>
      <c r="B828" s="16" t="s">
        <v>887</v>
      </c>
      <c r="C828" s="16" t="s">
        <v>168</v>
      </c>
      <c r="D828" s="16" t="s">
        <v>169</v>
      </c>
      <c r="E828" s="6" t="n">
        <v>1000</v>
      </c>
      <c r="F828" s="7" t="n">
        <v>20</v>
      </c>
      <c r="G828" s="6" t="n">
        <v>61.08</v>
      </c>
      <c r="H828" s="6" t="n">
        <v>159</v>
      </c>
      <c r="I828" s="6" t="n">
        <v>1221.6</v>
      </c>
      <c r="J828" s="6" t="n">
        <v>1062.6</v>
      </c>
    </row>
    <row collapsed="false" customFormat="false" customHeight="false" hidden="false" ht="12.1" outlineLevel="0" r="829">
      <c r="A829" s="39" t="n">
        <v>50179</v>
      </c>
      <c r="B829" s="16" t="s">
        <v>887</v>
      </c>
      <c r="C829" s="16" t="s">
        <v>165</v>
      </c>
      <c r="D829" s="16" t="s">
        <v>166</v>
      </c>
      <c r="E829" s="6" t="n">
        <v>1000</v>
      </c>
      <c r="F829" s="7" t="n">
        <v>20</v>
      </c>
      <c r="G829" s="6" t="n">
        <v>61.08</v>
      </c>
      <c r="H829" s="6" t="n">
        <v>159</v>
      </c>
      <c r="I829" s="6" t="n">
        <v>1221.6</v>
      </c>
      <c r="J829" s="6" t="n">
        <v>1062.6</v>
      </c>
    </row>
    <row collapsed="false" customFormat="false" customHeight="false" hidden="false" ht="12.1" outlineLevel="0" r="830">
      <c r="A830" s="39" t="n">
        <v>50179</v>
      </c>
      <c r="B830" s="16" t="s">
        <v>887</v>
      </c>
      <c r="C830" s="16" t="s">
        <v>141</v>
      </c>
      <c r="D830" s="16" t="s">
        <v>142</v>
      </c>
      <c r="E830" s="6" t="n">
        <v>1000</v>
      </c>
      <c r="F830" s="7" t="n">
        <v>53</v>
      </c>
      <c r="G830" s="6" t="n">
        <v>48.87</v>
      </c>
      <c r="H830" s="6" t="n">
        <v>337</v>
      </c>
      <c r="I830" s="6" t="n">
        <v>2590.11</v>
      </c>
      <c r="J830" s="6" t="n">
        <v>2253.11</v>
      </c>
    </row>
    <row collapsed="false" customFormat="false" customHeight="false" hidden="false" ht="12.1" outlineLevel="0" r="831">
      <c r="A831" s="39" t="n">
        <v>50179</v>
      </c>
      <c r="B831" s="16" t="s">
        <v>887</v>
      </c>
      <c r="C831" s="16" t="s">
        <v>134</v>
      </c>
      <c r="D831" s="16" t="s">
        <v>136</v>
      </c>
      <c r="E831" s="6" t="n">
        <v>1000</v>
      </c>
      <c r="F831" s="7" t="n">
        <v>88</v>
      </c>
      <c r="G831" s="6" t="n">
        <v>35.4</v>
      </c>
      <c r="H831" s="6" t="n">
        <v>405</v>
      </c>
      <c r="I831" s="6" t="n">
        <v>3115.2</v>
      </c>
      <c r="J831" s="6" t="n">
        <v>2710.2</v>
      </c>
    </row>
    <row collapsed="false" customFormat="false" customHeight="false" hidden="false" ht="12.1" outlineLevel="0" r="832">
      <c r="A832" s="39" t="n">
        <v>50319</v>
      </c>
      <c r="B832" s="16" t="s">
        <v>887</v>
      </c>
      <c r="C832" s="16" t="s">
        <v>183</v>
      </c>
      <c r="D832" s="16" t="s">
        <v>184</v>
      </c>
      <c r="E832" s="6" t="n">
        <v>1000</v>
      </c>
      <c r="F832" s="7" t="n">
        <v>9</v>
      </c>
      <c r="G832" s="6" t="n">
        <v>64.82</v>
      </c>
      <c r="H832" s="6" t="n">
        <v>76</v>
      </c>
      <c r="I832" s="6" t="n">
        <v>583.38</v>
      </c>
      <c r="J832" s="6" t="n">
        <v>507.38</v>
      </c>
    </row>
    <row collapsed="false" customFormat="false" customHeight="false" hidden="false" ht="12.1" outlineLevel="0" r="833">
      <c r="A833" s="39" t="n">
        <v>50354</v>
      </c>
      <c r="B833" s="16" t="s">
        <v>887</v>
      </c>
      <c r="C833" s="16" t="s">
        <v>168</v>
      </c>
      <c r="D833" s="16" t="s">
        <v>169</v>
      </c>
      <c r="E833" s="6" t="n">
        <v>1000</v>
      </c>
      <c r="F833" s="7" t="n">
        <v>20</v>
      </c>
      <c r="G833" s="6" t="n">
        <v>61.08</v>
      </c>
      <c r="H833" s="6" t="n">
        <v>159</v>
      </c>
      <c r="I833" s="6" t="n">
        <v>1221.6</v>
      </c>
      <c r="J833" s="6" t="n">
        <v>1062.6</v>
      </c>
    </row>
    <row collapsed="false" customFormat="false" customHeight="false" hidden="false" ht="12.1" outlineLevel="0" r="834">
      <c r="A834" s="39" t="n">
        <v>50361</v>
      </c>
      <c r="B834" s="16" t="s">
        <v>887</v>
      </c>
      <c r="C834" s="16" t="s">
        <v>141</v>
      </c>
      <c r="D834" s="16" t="s">
        <v>142</v>
      </c>
      <c r="E834" s="6" t="n">
        <v>1000</v>
      </c>
      <c r="F834" s="7" t="n">
        <v>53</v>
      </c>
      <c r="G834" s="6" t="n">
        <v>48.87</v>
      </c>
      <c r="H834" s="6" t="n">
        <v>337</v>
      </c>
      <c r="I834" s="6" t="n">
        <v>2590.11</v>
      </c>
      <c r="J834" s="6" t="n">
        <v>2253.11</v>
      </c>
    </row>
    <row collapsed="false" customFormat="false" customHeight="false" hidden="false" ht="12.1" outlineLevel="0" r="835">
      <c r="A835" s="39" t="n">
        <v>50361</v>
      </c>
      <c r="B835" s="16" t="s">
        <v>887</v>
      </c>
      <c r="C835" s="16" t="s">
        <v>165</v>
      </c>
      <c r="D835" s="16" t="s">
        <v>166</v>
      </c>
      <c r="E835" s="6" t="n">
        <v>1000</v>
      </c>
      <c r="F835" s="7" t="n">
        <v>20</v>
      </c>
      <c r="G835" s="6" t="n">
        <v>61.08</v>
      </c>
      <c r="H835" s="6" t="n">
        <v>159</v>
      </c>
      <c r="I835" s="6" t="n">
        <v>1221.6</v>
      </c>
      <c r="J835" s="6" t="n">
        <v>1062.6</v>
      </c>
    </row>
    <row collapsed="false" customFormat="false" customHeight="false" hidden="false" ht="12.1" outlineLevel="0" r="836">
      <c r="A836" s="39" t="n">
        <v>50361</v>
      </c>
      <c r="B836" s="16" t="s">
        <v>887</v>
      </c>
      <c r="C836" s="16" t="s">
        <v>134</v>
      </c>
      <c r="D836" s="16" t="s">
        <v>136</v>
      </c>
      <c r="E836" s="6" t="n">
        <v>1000</v>
      </c>
      <c r="F836" s="7" t="n">
        <v>88</v>
      </c>
      <c r="G836" s="6" t="n">
        <v>35.4</v>
      </c>
      <c r="H836" s="6" t="n">
        <v>405</v>
      </c>
      <c r="I836" s="6" t="n">
        <v>3115.2</v>
      </c>
      <c r="J836" s="6" t="n">
        <v>2710.2</v>
      </c>
    </row>
    <row collapsed="false" customFormat="false" customHeight="false" hidden="false" ht="12.1" outlineLevel="0" r="837">
      <c r="A837" s="39" t="n">
        <v>50501</v>
      </c>
      <c r="B837" s="16" t="s">
        <v>887</v>
      </c>
      <c r="C837" s="16" t="s">
        <v>183</v>
      </c>
      <c r="D837" s="16" t="s">
        <v>184</v>
      </c>
      <c r="E837" s="6" t="n">
        <v>1000</v>
      </c>
      <c r="F837" s="7" t="n">
        <v>9</v>
      </c>
      <c r="G837" s="6" t="n">
        <v>64.82</v>
      </c>
      <c r="H837" s="6" t="n">
        <v>76</v>
      </c>
      <c r="I837" s="6" t="n">
        <v>583.38</v>
      </c>
      <c r="J837" s="6" t="n">
        <v>507.38</v>
      </c>
    </row>
    <row collapsed="false" customFormat="false" customHeight="false" hidden="false" ht="12.1" outlineLevel="0" r="838">
      <c r="A838" s="39" t="n">
        <v>50536</v>
      </c>
      <c r="B838" s="16" t="s">
        <v>887</v>
      </c>
      <c r="C838" s="16" t="s">
        <v>168</v>
      </c>
      <c r="D838" s="16" t="s">
        <v>169</v>
      </c>
      <c r="E838" s="6" t="n">
        <v>1000</v>
      </c>
      <c r="F838" s="7" t="n">
        <v>20</v>
      </c>
      <c r="G838" s="6" t="n">
        <v>61.08</v>
      </c>
      <c r="H838" s="6" t="n">
        <v>159</v>
      </c>
      <c r="I838" s="6" t="n">
        <v>1221.6</v>
      </c>
      <c r="J838" s="6" t="n">
        <v>1062.6</v>
      </c>
    </row>
    <row collapsed="false" customFormat="false" customHeight="false" hidden="false" ht="12.1" outlineLevel="0" r="839">
      <c r="A839" s="39" t="n">
        <v>50543</v>
      </c>
      <c r="B839" s="16" t="s">
        <v>887</v>
      </c>
      <c r="C839" s="16" t="s">
        <v>165</v>
      </c>
      <c r="D839" s="16" t="s">
        <v>166</v>
      </c>
      <c r="E839" s="6" t="n">
        <v>1000</v>
      </c>
      <c r="F839" s="7" t="n">
        <v>20</v>
      </c>
      <c r="G839" s="6" t="n">
        <v>61.08</v>
      </c>
      <c r="H839" s="6" t="n">
        <v>159</v>
      </c>
      <c r="I839" s="6" t="n">
        <v>1221.6</v>
      </c>
      <c r="J839" s="6" t="n">
        <v>1062.6</v>
      </c>
    </row>
    <row collapsed="false" customFormat="false" customHeight="false" hidden="false" ht="12.1" outlineLevel="0" r="840">
      <c r="A840" s="39" t="n">
        <v>50543</v>
      </c>
      <c r="B840" s="16" t="s">
        <v>887</v>
      </c>
      <c r="C840" s="16" t="s">
        <v>134</v>
      </c>
      <c r="D840" s="16" t="s">
        <v>136</v>
      </c>
      <c r="E840" s="6" t="n">
        <v>1000</v>
      </c>
      <c r="F840" s="7" t="n">
        <v>88</v>
      </c>
      <c r="G840" s="6" t="n">
        <v>35.4</v>
      </c>
      <c r="H840" s="6" t="n">
        <v>405</v>
      </c>
      <c r="I840" s="6" t="n">
        <v>3115.2</v>
      </c>
      <c r="J840" s="6" t="n">
        <v>2710.2</v>
      </c>
    </row>
    <row collapsed="false" customFormat="false" customHeight="false" hidden="false" ht="12.1" outlineLevel="0" r="841">
      <c r="A841" s="39" t="n">
        <v>50543</v>
      </c>
      <c r="B841" s="16" t="s">
        <v>887</v>
      </c>
      <c r="C841" s="16" t="s">
        <v>141</v>
      </c>
      <c r="D841" s="16" t="s">
        <v>142</v>
      </c>
      <c r="E841" s="6" t="n">
        <v>1000</v>
      </c>
      <c r="F841" s="7" t="n">
        <v>53</v>
      </c>
      <c r="G841" s="6" t="n">
        <v>48.87</v>
      </c>
      <c r="H841" s="6" t="n">
        <v>337</v>
      </c>
      <c r="I841" s="6" t="n">
        <v>2590.11</v>
      </c>
      <c r="J841" s="6" t="n">
        <v>2253.11</v>
      </c>
    </row>
    <row collapsed="false" customFormat="false" customHeight="false" hidden="false" ht="12.1" outlineLevel="0" r="842">
      <c r="A842" s="39" t="n">
        <v>50683</v>
      </c>
      <c r="B842" s="16" t="s">
        <v>887</v>
      </c>
      <c r="C842" s="16" t="s">
        <v>183</v>
      </c>
      <c r="D842" s="16" t="s">
        <v>184</v>
      </c>
      <c r="E842" s="6" t="n">
        <v>1000</v>
      </c>
      <c r="F842" s="7" t="n">
        <v>9</v>
      </c>
      <c r="G842" s="6" t="n">
        <v>64.82</v>
      </c>
      <c r="H842" s="6" t="n">
        <v>76</v>
      </c>
      <c r="I842" s="6" t="n">
        <v>583.38</v>
      </c>
      <c r="J842" s="6" t="n">
        <v>507.38</v>
      </c>
    </row>
    <row collapsed="false" customFormat="false" customHeight="false" hidden="false" ht="12.1" outlineLevel="0" r="843">
      <c r="A843" s="39" t="n">
        <v>50718</v>
      </c>
      <c r="B843" s="16" t="s">
        <v>887</v>
      </c>
      <c r="C843" s="16" t="s">
        <v>168</v>
      </c>
      <c r="D843" s="16" t="s">
        <v>169</v>
      </c>
      <c r="E843" s="6" t="n">
        <v>1000</v>
      </c>
      <c r="F843" s="7" t="n">
        <v>20</v>
      </c>
      <c r="G843" s="6" t="n">
        <v>61.08</v>
      </c>
      <c r="H843" s="6" t="n">
        <v>159</v>
      </c>
      <c r="I843" s="6" t="n">
        <v>1221.6</v>
      </c>
      <c r="J843" s="6" t="n">
        <v>1062.6</v>
      </c>
    </row>
    <row collapsed="false" customFormat="false" customHeight="false" hidden="false" ht="12.1" outlineLevel="0" r="844">
      <c r="A844" s="39" t="n">
        <v>50725</v>
      </c>
      <c r="B844" s="16" t="s">
        <v>887</v>
      </c>
      <c r="C844" s="16" t="s">
        <v>165</v>
      </c>
      <c r="D844" s="16" t="s">
        <v>166</v>
      </c>
      <c r="E844" s="6" t="n">
        <v>1000</v>
      </c>
      <c r="F844" s="7" t="n">
        <v>20</v>
      </c>
      <c r="G844" s="6" t="n">
        <v>61.08</v>
      </c>
      <c r="H844" s="6" t="n">
        <v>159</v>
      </c>
      <c r="I844" s="6" t="n">
        <v>1221.6</v>
      </c>
      <c r="J844" s="6" t="n">
        <v>1062.6</v>
      </c>
    </row>
    <row collapsed="false" customFormat="false" customHeight="false" hidden="false" ht="12.1" outlineLevel="0" r="845">
      <c r="A845" s="39" t="n">
        <v>50725</v>
      </c>
      <c r="B845" s="16" t="s">
        <v>887</v>
      </c>
      <c r="C845" s="16" t="s">
        <v>134</v>
      </c>
      <c r="D845" s="16" t="s">
        <v>136</v>
      </c>
      <c r="E845" s="6" t="n">
        <v>1000</v>
      </c>
      <c r="F845" s="7" t="n">
        <v>88</v>
      </c>
      <c r="G845" s="6" t="n">
        <v>35.4</v>
      </c>
      <c r="H845" s="6" t="n">
        <v>405</v>
      </c>
      <c r="I845" s="6" t="n">
        <v>3115.2</v>
      </c>
      <c r="J845" s="6" t="n">
        <v>2710.2</v>
      </c>
    </row>
    <row collapsed="false" customFormat="false" customHeight="false" hidden="false" ht="12.1" outlineLevel="0" r="846">
      <c r="A846" s="39" t="n">
        <v>50865</v>
      </c>
      <c r="B846" s="16" t="s">
        <v>887</v>
      </c>
      <c r="C846" s="16" t="s">
        <v>183</v>
      </c>
      <c r="D846" s="16" t="s">
        <v>184</v>
      </c>
      <c r="E846" s="6" t="n">
        <v>1000</v>
      </c>
      <c r="F846" s="7" t="n">
        <v>9</v>
      </c>
      <c r="G846" s="6" t="n">
        <v>64.82</v>
      </c>
      <c r="H846" s="6" t="n">
        <v>76</v>
      </c>
      <c r="I846" s="6" t="n">
        <v>583.38</v>
      </c>
      <c r="J846" s="6" t="n">
        <v>507.38</v>
      </c>
    </row>
    <row collapsed="false" customFormat="false" customHeight="false" hidden="false" ht="12.1" outlineLevel="0" r="847">
      <c r="A847" s="39" t="n">
        <v>50900</v>
      </c>
      <c r="B847" s="16" t="s">
        <v>887</v>
      </c>
      <c r="C847" s="16" t="s">
        <v>168</v>
      </c>
      <c r="D847" s="16" t="s">
        <v>169</v>
      </c>
      <c r="E847" s="6" t="n">
        <v>1000</v>
      </c>
      <c r="F847" s="7" t="n">
        <v>20</v>
      </c>
      <c r="G847" s="6" t="n">
        <v>61.08</v>
      </c>
      <c r="H847" s="6" t="n">
        <v>159</v>
      </c>
      <c r="I847" s="6" t="n">
        <v>1221.6</v>
      </c>
      <c r="J847" s="6" t="n">
        <v>1062.6</v>
      </c>
    </row>
    <row collapsed="false" customFormat="false" customHeight="false" hidden="false" ht="12.1" outlineLevel="0" r="848">
      <c r="A848" s="39" t="n">
        <v>50907</v>
      </c>
      <c r="B848" s="16" t="s">
        <v>887</v>
      </c>
      <c r="C848" s="16" t="s">
        <v>165</v>
      </c>
      <c r="D848" s="16" t="s">
        <v>166</v>
      </c>
      <c r="E848" s="6" t="n">
        <v>1000</v>
      </c>
      <c r="F848" s="7" t="n">
        <v>20</v>
      </c>
      <c r="G848" s="6" t="n">
        <v>61.08</v>
      </c>
      <c r="H848" s="6" t="n">
        <v>159</v>
      </c>
      <c r="I848" s="6" t="n">
        <v>1221.6</v>
      </c>
      <c r="J848" s="6" t="n">
        <v>1062.6</v>
      </c>
    </row>
    <row collapsed="false" customFormat="false" customHeight="false" hidden="false" ht="12.1" outlineLevel="0" r="849">
      <c r="A849" s="39" t="n">
        <v>50907</v>
      </c>
      <c r="B849" s="16" t="s">
        <v>887</v>
      </c>
      <c r="C849" s="16" t="s">
        <v>134</v>
      </c>
      <c r="D849" s="16" t="s">
        <v>136</v>
      </c>
      <c r="E849" s="6" t="n">
        <v>1000</v>
      </c>
      <c r="F849" s="7" t="n">
        <v>88</v>
      </c>
      <c r="G849" s="6" t="n">
        <v>35.4</v>
      </c>
      <c r="H849" s="6" t="n">
        <v>405</v>
      </c>
      <c r="I849" s="6" t="n">
        <v>3115.2</v>
      </c>
      <c r="J849" s="6" t="n">
        <v>2710.2</v>
      </c>
    </row>
    <row collapsed="false" customFormat="false" customHeight="false" hidden="false" ht="12.1" outlineLevel="0" r="850">
      <c r="A850" s="39" t="n">
        <v>51047</v>
      </c>
      <c r="B850" s="16" t="s">
        <v>887</v>
      </c>
      <c r="C850" s="16" t="s">
        <v>183</v>
      </c>
      <c r="D850" s="16" t="s">
        <v>184</v>
      </c>
      <c r="E850" s="6" t="n">
        <v>1000</v>
      </c>
      <c r="F850" s="7" t="n">
        <v>9</v>
      </c>
      <c r="G850" s="6" t="n">
        <v>64.82</v>
      </c>
      <c r="H850" s="6" t="n">
        <v>76</v>
      </c>
      <c r="I850" s="6" t="n">
        <v>583.38</v>
      </c>
      <c r="J850" s="6" t="n">
        <v>507.38</v>
      </c>
    </row>
    <row collapsed="false" customFormat="false" customHeight="false" hidden="false" ht="12.1" outlineLevel="0" r="851">
      <c r="A851" s="39" t="n">
        <v>51089</v>
      </c>
      <c r="B851" s="16" t="s">
        <v>887</v>
      </c>
      <c r="C851" s="16" t="s">
        <v>165</v>
      </c>
      <c r="D851" s="16" t="s">
        <v>166</v>
      </c>
      <c r="E851" s="6" t="n">
        <v>1000</v>
      </c>
      <c r="F851" s="7" t="n">
        <v>20</v>
      </c>
      <c r="G851" s="6" t="n">
        <v>61.08</v>
      </c>
      <c r="H851" s="6" t="n">
        <v>159</v>
      </c>
      <c r="I851" s="6" t="n">
        <v>1221.6</v>
      </c>
      <c r="J851" s="6" t="n">
        <v>1062.6</v>
      </c>
    </row>
    <row collapsed="false" customFormat="false" customHeight="false" hidden="false" ht="12.1" outlineLevel="0" r="852">
      <c r="A852" s="39" t="n">
        <v>51089</v>
      </c>
      <c r="B852" s="16" t="s">
        <v>887</v>
      </c>
      <c r="C852" s="16" t="s">
        <v>134</v>
      </c>
      <c r="D852" s="16" t="s">
        <v>136</v>
      </c>
      <c r="E852" s="6" t="n">
        <v>1000</v>
      </c>
      <c r="F852" s="7" t="n">
        <v>88</v>
      </c>
      <c r="G852" s="6" t="n">
        <v>35.4</v>
      </c>
      <c r="H852" s="6" t="n">
        <v>405</v>
      </c>
      <c r="I852" s="6" t="n">
        <v>3115.2</v>
      </c>
      <c r="J852" s="6" t="n">
        <v>2710.2</v>
      </c>
    </row>
    <row collapsed="false" customFormat="false" customHeight="false" hidden="false" ht="12.1" outlineLevel="0" r="853">
      <c r="A853" s="39" t="n">
        <v>51229</v>
      </c>
      <c r="B853" s="16" t="s">
        <v>887</v>
      </c>
      <c r="C853" s="16" t="s">
        <v>183</v>
      </c>
      <c r="D853" s="16" t="s">
        <v>184</v>
      </c>
      <c r="E853" s="6" t="n">
        <v>1000</v>
      </c>
      <c r="F853" s="7" t="n">
        <v>9</v>
      </c>
      <c r="G853" s="6" t="n">
        <v>64.82</v>
      </c>
      <c r="H853" s="6" t="n">
        <v>76</v>
      </c>
      <c r="I853" s="6" t="n">
        <v>583.38</v>
      </c>
      <c r="J853" s="6" t="n">
        <v>507.38</v>
      </c>
    </row>
    <row collapsed="false" customFormat="false" customHeight="false" hidden="false" ht="12.1" outlineLevel="0" r="854">
      <c r="A854" s="39" t="n">
        <v>51271</v>
      </c>
      <c r="B854" s="16" t="s">
        <v>887</v>
      </c>
      <c r="C854" s="16" t="s">
        <v>134</v>
      </c>
      <c r="D854" s="16" t="s">
        <v>136</v>
      </c>
      <c r="E854" s="6" t="n">
        <v>1000</v>
      </c>
      <c r="F854" s="7" t="n">
        <v>88</v>
      </c>
      <c r="G854" s="6" t="n">
        <v>35.4</v>
      </c>
      <c r="H854" s="6" t="n">
        <v>405</v>
      </c>
      <c r="I854" s="6" t="n">
        <v>3115.2</v>
      </c>
      <c r="J854" s="6" t="n">
        <v>2710.2</v>
      </c>
    </row>
    <row collapsed="false" customFormat="false" customHeight="false" hidden="false" ht="12.1" outlineLevel="0" r="855">
      <c r="A855" s="39" t="n">
        <v>51271</v>
      </c>
      <c r="B855" s="16" t="s">
        <v>887</v>
      </c>
      <c r="C855" s="16" t="s">
        <v>165</v>
      </c>
      <c r="D855" s="16" t="s">
        <v>166</v>
      </c>
      <c r="E855" s="6" t="n">
        <v>1000</v>
      </c>
      <c r="F855" s="7" t="n">
        <v>20</v>
      </c>
      <c r="G855" s="6" t="n">
        <v>61.08</v>
      </c>
      <c r="H855" s="6" t="n">
        <v>159</v>
      </c>
      <c r="I855" s="6" t="n">
        <v>1221.6</v>
      </c>
      <c r="J855" s="6" t="n">
        <v>1062.6</v>
      </c>
    </row>
    <row collapsed="false" customFormat="false" customHeight="false" hidden="false" ht="12.1" outlineLevel="0" r="856">
      <c r="A856" s="39" t="n">
        <v>51411</v>
      </c>
      <c r="B856" s="16" t="s">
        <v>887</v>
      </c>
      <c r="C856" s="16" t="s">
        <v>183</v>
      </c>
      <c r="D856" s="16" t="s">
        <v>184</v>
      </c>
      <c r="E856" s="6" t="n">
        <v>1000</v>
      </c>
      <c r="F856" s="7" t="n">
        <v>9</v>
      </c>
      <c r="G856" s="6" t="n">
        <v>64.82</v>
      </c>
      <c r="H856" s="6" t="n">
        <v>76</v>
      </c>
      <c r="I856" s="6" t="n">
        <v>583.38</v>
      </c>
      <c r="J856" s="6" t="n">
        <v>507.38</v>
      </c>
    </row>
    <row collapsed="false" customFormat="false" customHeight="false" hidden="false" ht="12.1" outlineLevel="0" r="857">
      <c r="A857" s="39" t="n">
        <v>51453</v>
      </c>
      <c r="B857" s="16" t="s">
        <v>887</v>
      </c>
      <c r="C857" s="16" t="s">
        <v>134</v>
      </c>
      <c r="D857" s="16" t="s">
        <v>136</v>
      </c>
      <c r="E857" s="6" t="n">
        <v>1000</v>
      </c>
      <c r="F857" s="7" t="n">
        <v>88</v>
      </c>
      <c r="G857" s="6" t="n">
        <v>35.4</v>
      </c>
      <c r="H857" s="6" t="n">
        <v>405</v>
      </c>
      <c r="I857" s="6" t="n">
        <v>3115.2</v>
      </c>
      <c r="J857" s="6" t="n">
        <v>2710.2</v>
      </c>
    </row>
    <row collapsed="false" customFormat="false" customHeight="false" hidden="false" ht="12.1" outlineLevel="0" r="858">
      <c r="A858" s="39" t="n">
        <v>51635</v>
      </c>
      <c r="B858" s="16" t="s">
        <v>887</v>
      </c>
      <c r="C858" s="16" t="s">
        <v>134</v>
      </c>
      <c r="D858" s="16" t="s">
        <v>136</v>
      </c>
      <c r="E858" s="6" t="n">
        <v>1000</v>
      </c>
      <c r="F858" s="7" t="n">
        <v>88</v>
      </c>
      <c r="G858" s="6" t="n">
        <v>35.4</v>
      </c>
      <c r="H858" s="6" t="n">
        <v>405</v>
      </c>
      <c r="I858" s="6" t="n">
        <v>3115.2</v>
      </c>
      <c r="J858" s="6" t="n">
        <v>2710.2</v>
      </c>
    </row>
  </sheetData>
  <autoFilter ref="A1:J8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0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247</v>
      </c>
      <c r="B1" s="38" t="s">
        <v>877</v>
      </c>
      <c r="C1" s="38" t="s">
        <v>0</v>
      </c>
      <c r="D1" s="38" t="s">
        <v>2</v>
      </c>
      <c r="E1" s="38" t="s">
        <v>878</v>
      </c>
      <c r="F1" s="38" t="s">
        <v>902</v>
      </c>
      <c r="G1" s="38" t="s">
        <v>903</v>
      </c>
      <c r="H1" s="38" t="s">
        <v>252</v>
      </c>
      <c r="I1" s="38" t="s">
        <v>904</v>
      </c>
      <c r="J1" s="38" t="s">
        <v>905</v>
      </c>
      <c r="K1" s="38" t="s">
        <v>906</v>
      </c>
      <c r="L1" s="38" t="s">
        <v>907</v>
      </c>
      <c r="M1" s="38" t="s">
        <v>908</v>
      </c>
      <c r="N1" s="38" t="s">
        <v>909</v>
      </c>
      <c r="O1" s="38" t="s">
        <v>910</v>
      </c>
    </row>
    <row collapsed="false" customFormat="false" customHeight="false" hidden="false" ht="12.1" outlineLevel="0" r="2">
      <c r="A2" s="40" t="n">
        <v>44644</v>
      </c>
      <c r="B2" s="16" t="s">
        <v>887</v>
      </c>
      <c r="C2" s="16" t="s">
        <v>17</v>
      </c>
      <c r="D2" s="16" t="s">
        <v>19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1434</v>
      </c>
      <c r="J2" s="17" t="n">
        <v>311.74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44771</v>
      </c>
      <c r="B3" s="16" t="s">
        <v>887</v>
      </c>
      <c r="C3" s="16" t="s">
        <v>17</v>
      </c>
      <c r="D3" s="16" t="s">
        <v>19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1307</v>
      </c>
      <c r="J3" s="17" t="n">
        <v>349.7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45196</v>
      </c>
      <c r="B4" s="16" t="s">
        <v>887</v>
      </c>
      <c r="C4" s="16" t="s">
        <v>17</v>
      </c>
      <c r="D4" s="16" t="s">
        <v>19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882</v>
      </c>
      <c r="J4" s="17" t="n">
        <v>529.87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45503</v>
      </c>
      <c r="B5" s="16" t="s">
        <v>887</v>
      </c>
      <c r="C5" s="16" t="s">
        <v>17</v>
      </c>
      <c r="D5" s="16" t="s">
        <v>19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575</v>
      </c>
      <c r="J5" s="17" t="n">
        <v>506.855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45594</v>
      </c>
      <c r="B6" s="16" t="s">
        <v>887</v>
      </c>
      <c r="C6" s="16" t="s">
        <v>17</v>
      </c>
      <c r="D6" s="16" t="s">
        <v>19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484</v>
      </c>
      <c r="J6" s="17" t="n">
        <v>443.4545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45623</v>
      </c>
      <c r="B7" s="16" t="s">
        <v>887</v>
      </c>
      <c r="C7" s="16" t="s">
        <v>17</v>
      </c>
      <c r="D7" s="16" t="s">
        <v>19</v>
      </c>
      <c r="E7" s="17" t="n">
        <v>4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455</v>
      </c>
      <c r="J7" s="17" t="n">
        <v>468.275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45943</v>
      </c>
      <c r="B8" s="16" t="s">
        <v>887</v>
      </c>
      <c r="C8" s="16" t="s">
        <v>22</v>
      </c>
      <c r="D8" s="16" t="s">
        <v>23</v>
      </c>
      <c r="E8" s="17" t="n">
        <v>10000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135</v>
      </c>
      <c r="J8" s="17" t="n">
        <v>0.63695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45950</v>
      </c>
      <c r="B9" s="16" t="s">
        <v>887</v>
      </c>
      <c r="C9" s="16" t="s">
        <v>22</v>
      </c>
      <c r="D9" s="16" t="s">
        <v>23</v>
      </c>
      <c r="E9" s="17" t="n">
        <v>25000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128</v>
      </c>
      <c r="J9" s="17" t="n">
        <v>0.6399036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44700</v>
      </c>
      <c r="B10" s="16" t="s">
        <v>887</v>
      </c>
      <c r="C10" s="16" t="s">
        <v>25</v>
      </c>
      <c r="D10" s="16" t="s">
        <v>26</v>
      </c>
      <c r="E10" s="17" t="n">
        <v>100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1378</v>
      </c>
      <c r="J10" s="17" t="n">
        <v>36.4218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45971</v>
      </c>
      <c r="B11" s="16" t="s">
        <v>887</v>
      </c>
      <c r="C11" s="16" t="s">
        <v>25</v>
      </c>
      <c r="D11" s="16" t="s">
        <v>26</v>
      </c>
      <c r="E11" s="17" t="n">
        <v>300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107</v>
      </c>
      <c r="J11" s="17" t="n">
        <v>38.520766666667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45621</v>
      </c>
      <c r="B12" s="16" t="s">
        <v>887</v>
      </c>
      <c r="C12" s="16" t="s">
        <v>28</v>
      </c>
      <c r="D12" s="16" t="s">
        <v>29</v>
      </c>
      <c r="E12" s="17" t="n">
        <v>20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457</v>
      </c>
      <c r="J12" s="17" t="n">
        <v>230.384</v>
      </c>
      <c r="K12" s="6" t="s">
        <f>=Портфель!F5*Портфель!$Q$13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45623</v>
      </c>
      <c r="B13" s="16" t="s">
        <v>887</v>
      </c>
      <c r="C13" s="16" t="s">
        <v>28</v>
      </c>
      <c r="D13" s="16" t="s">
        <v>29</v>
      </c>
      <c r="E13" s="17" t="n">
        <v>30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455</v>
      </c>
      <c r="J13" s="17" t="n">
        <v>224.50933333333</v>
      </c>
      <c r="K13" s="6" t="s">
        <f>=Портфель!F5*Портфель!$Q$13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45971</v>
      </c>
      <c r="B14" s="16" t="s">
        <v>887</v>
      </c>
      <c r="C14" s="16" t="s">
        <v>31</v>
      </c>
      <c r="D14" s="16" t="s">
        <v>32</v>
      </c>
      <c r="E14" s="17" t="n">
        <v>100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107</v>
      </c>
      <c r="J14" s="17" t="n">
        <v>70.5164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45527</v>
      </c>
      <c r="B15" s="16" t="s">
        <v>887</v>
      </c>
      <c r="C15" s="16" t="s">
        <v>34</v>
      </c>
      <c r="D15" s="16" t="s">
        <v>35</v>
      </c>
      <c r="E15" s="17" t="n">
        <v>400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551</v>
      </c>
      <c r="J15" s="17" t="n">
        <v>8.10405</v>
      </c>
      <c r="K15" s="6" t="s">
        <f>=Портфель!F7*Портфель!$Q$13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45603</v>
      </c>
      <c r="B16" s="16" t="s">
        <v>887</v>
      </c>
      <c r="C16" s="16" t="s">
        <v>34</v>
      </c>
      <c r="D16" s="16" t="s">
        <v>35</v>
      </c>
      <c r="E16" s="17" t="n">
        <v>500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475</v>
      </c>
      <c r="J16" s="17" t="n">
        <v>8.5118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45607</v>
      </c>
      <c r="B17" s="16" t="s">
        <v>887</v>
      </c>
      <c r="C17" s="16" t="s">
        <v>37</v>
      </c>
      <c r="D17" s="16" t="s">
        <v>38</v>
      </c>
      <c r="E17" s="17" t="n">
        <v>50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471</v>
      </c>
      <c r="J17" s="17" t="n">
        <v>112.53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45495</v>
      </c>
      <c r="B18" s="16" t="s">
        <v>887</v>
      </c>
      <c r="C18" s="16" t="s">
        <v>40</v>
      </c>
      <c r="D18" s="16" t="s">
        <v>41</v>
      </c>
      <c r="E18" s="17" t="n">
        <v>200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583</v>
      </c>
      <c r="J18" s="17" t="n">
        <v>15.5825</v>
      </c>
      <c r="K18" s="6" t="s">
        <f>=Портфель!F9*Портфель!$Q$13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45509</v>
      </c>
      <c r="B19" s="16" t="s">
        <v>887</v>
      </c>
      <c r="C19" s="16" t="s">
        <v>40</v>
      </c>
      <c r="D19" s="16" t="s">
        <v>41</v>
      </c>
      <c r="E19" s="17" t="n">
        <v>300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569</v>
      </c>
      <c r="J19" s="17" t="n">
        <v>14.201333333333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45474</v>
      </c>
      <c r="B20" s="16" t="s">
        <v>887</v>
      </c>
      <c r="C20" s="16" t="s">
        <v>43</v>
      </c>
      <c r="D20" s="16" t="s">
        <v>44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604</v>
      </c>
      <c r="J20" s="17" t="n">
        <v>6424.64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45537</v>
      </c>
      <c r="B21" s="16" t="s">
        <v>887</v>
      </c>
      <c r="C21" s="16" t="s">
        <v>43</v>
      </c>
      <c r="D21" s="16" t="s">
        <v>44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541</v>
      </c>
      <c r="J21" s="17" t="n">
        <v>4667.72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45323</v>
      </c>
      <c r="B22" s="16" t="s">
        <v>887</v>
      </c>
      <c r="C22" s="16" t="s">
        <v>46</v>
      </c>
      <c r="D22" s="16" t="s">
        <v>47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755</v>
      </c>
      <c r="J22" s="17" t="n">
        <v>859.49</v>
      </c>
      <c r="K22" s="6" t="s">
        <f>=Портфель!F11*Портфель!$Q$13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45491</v>
      </c>
      <c r="B23" s="16" t="s">
        <v>887</v>
      </c>
      <c r="C23" s="16" t="s">
        <v>46</v>
      </c>
      <c r="D23" s="16" t="s">
        <v>47</v>
      </c>
      <c r="E23" s="17" t="n">
        <v>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587</v>
      </c>
      <c r="J23" s="17" t="n">
        <v>600.68</v>
      </c>
      <c r="K23" s="6" t="s">
        <f>=Портфель!F11*Портфель!$Q$13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45530</v>
      </c>
      <c r="B24" s="16" t="s">
        <v>887</v>
      </c>
      <c r="C24" s="16" t="s">
        <v>49</v>
      </c>
      <c r="D24" s="16" t="s">
        <v>50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548</v>
      </c>
      <c r="J24" s="17" t="n">
        <v>658.48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45537</v>
      </c>
      <c r="B25" s="16" t="s">
        <v>887</v>
      </c>
      <c r="C25" s="16" t="s">
        <v>49</v>
      </c>
      <c r="D25" s="16" t="s">
        <v>50</v>
      </c>
      <c r="E25" s="17" t="n">
        <v>5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541</v>
      </c>
      <c r="J25" s="17" t="n">
        <v>640.862</v>
      </c>
      <c r="K25" s="6" t="s">
        <f>=Портфель!F12*Портфель!$Q$13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45544</v>
      </c>
      <c r="B26" s="16" t="s">
        <v>887</v>
      </c>
      <c r="C26" s="16" t="s">
        <v>49</v>
      </c>
      <c r="D26" s="16" t="s">
        <v>50</v>
      </c>
      <c r="E26" s="17" t="n">
        <v>5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534</v>
      </c>
      <c r="J26" s="17" t="n">
        <v>668.836</v>
      </c>
      <c r="K26" s="6" t="s">
        <f>=Портфель!F12*Портфель!$Q$13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45348</v>
      </c>
      <c r="B27" s="16" t="s">
        <v>887</v>
      </c>
      <c r="C27" s="16" t="s">
        <v>52</v>
      </c>
      <c r="D27" s="16" t="s">
        <v>53</v>
      </c>
      <c r="E27" s="17" t="n">
        <v>5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730</v>
      </c>
      <c r="J27" s="17" t="n">
        <v>1341.072</v>
      </c>
      <c r="K27" s="6" t="s">
        <f>=Портфель!F13*Портфель!$Q$13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44673</v>
      </c>
      <c r="B28" s="16" t="s">
        <v>887</v>
      </c>
      <c r="C28" s="16" t="s">
        <v>54</v>
      </c>
      <c r="D28" s="16" t="s">
        <v>55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1405</v>
      </c>
      <c r="J28" s="17" t="n">
        <v>3802.28</v>
      </c>
      <c r="K28" s="6" t="s">
        <f>=Портфель!F14*Портфель!$Q$13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45446</v>
      </c>
      <c r="B29" s="16" t="s">
        <v>887</v>
      </c>
      <c r="C29" s="16" t="s">
        <v>57</v>
      </c>
      <c r="D29" s="16" t="s">
        <v>58</v>
      </c>
      <c r="E29" s="17" t="n">
        <v>3000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632</v>
      </c>
      <c r="J29" s="17" t="n">
        <v>0.87653333333333</v>
      </c>
      <c r="K29" s="6" t="s">
        <f>=Портфель!F15*Портфель!$Q$13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45537</v>
      </c>
      <c r="B30" s="16" t="s">
        <v>887</v>
      </c>
      <c r="C30" s="16" t="s">
        <v>57</v>
      </c>
      <c r="D30" s="16" t="s">
        <v>58</v>
      </c>
      <c r="E30" s="17" t="n">
        <v>3000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541</v>
      </c>
      <c r="J30" s="17" t="n">
        <v>0.59637666666667</v>
      </c>
      <c r="K30" s="6" t="s">
        <f>=Портфель!F15*Портфель!$Q$13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45418</v>
      </c>
      <c r="B31" s="16" t="s">
        <v>887</v>
      </c>
      <c r="C31" s="16" t="s">
        <v>60</v>
      </c>
      <c r="D31" s="16" t="s">
        <v>61</v>
      </c>
      <c r="E31" s="17" t="n">
        <v>100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660</v>
      </c>
      <c r="J31" s="17" t="n">
        <v>35.6885</v>
      </c>
      <c r="K31" s="6" t="s">
        <f>=Портфель!F16*Портфель!$Q$13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45454</v>
      </c>
      <c r="B32" s="16" t="s">
        <v>887</v>
      </c>
      <c r="C32" s="16" t="s">
        <v>60</v>
      </c>
      <c r="D32" s="16" t="s">
        <v>61</v>
      </c>
      <c r="E32" s="17" t="n">
        <v>100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624</v>
      </c>
      <c r="J32" s="17" t="n">
        <v>28.8881</v>
      </c>
      <c r="K32" s="6" t="s">
        <f>=Портфель!F16*Портфель!$Q$13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45287</v>
      </c>
      <c r="B33" s="16" t="s">
        <v>887</v>
      </c>
      <c r="C33" s="16" t="s">
        <v>63</v>
      </c>
      <c r="D33" s="16" t="s">
        <v>64</v>
      </c>
      <c r="E33" s="17" t="n">
        <v>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791</v>
      </c>
      <c r="J33" s="17" t="n">
        <v>680.54</v>
      </c>
      <c r="K33" s="6" t="s">
        <f>=Портфель!F17*Портфель!$Q$13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45490</v>
      </c>
      <c r="B34" s="16" t="s">
        <v>887</v>
      </c>
      <c r="C34" s="16" t="s">
        <v>66</v>
      </c>
      <c r="D34" s="16" t="s">
        <v>67</v>
      </c>
      <c r="E34" s="17" t="n">
        <v>2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588</v>
      </c>
      <c r="J34" s="17" t="n">
        <v>1438.655</v>
      </c>
      <c r="K34" s="6" t="s">
        <f>=Портфель!F18*Портфель!$Q$13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44670</v>
      </c>
      <c r="B35" s="16" t="s">
        <v>887</v>
      </c>
      <c r="C35" s="16" t="s">
        <v>68</v>
      </c>
      <c r="D35" s="16" t="s">
        <v>69</v>
      </c>
      <c r="E35" s="17" t="n">
        <v>100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1408</v>
      </c>
      <c r="J35" s="17" t="n">
        <v>11.8211</v>
      </c>
      <c r="K35" s="6" t="s">
        <f>=Портфель!F19*Портфель!$Q$13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44810</v>
      </c>
      <c r="B36" s="16" t="s">
        <v>887</v>
      </c>
      <c r="C36" s="16" t="s">
        <v>68</v>
      </c>
      <c r="D36" s="16" t="s">
        <v>69</v>
      </c>
      <c r="E36" s="17" t="n">
        <v>100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1268</v>
      </c>
      <c r="J36" s="17" t="n">
        <v>14.5087</v>
      </c>
      <c r="K36" s="6" t="s">
        <f>=Портфель!F19*Портфель!$Q$13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45483</v>
      </c>
      <c r="B37" s="16" t="s">
        <v>887</v>
      </c>
      <c r="C37" s="16" t="s">
        <v>70</v>
      </c>
      <c r="D37" s="16" t="s">
        <v>71</v>
      </c>
      <c r="E37" s="17" t="n">
        <v>50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595</v>
      </c>
      <c r="J37" s="17" t="n">
        <v>60.4382</v>
      </c>
      <c r="K37" s="6" t="s">
        <f>=Портфель!F20*Портфель!$Q$13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45532</v>
      </c>
      <c r="B38" s="16" t="s">
        <v>887</v>
      </c>
      <c r="C38" s="16" t="s">
        <v>72</v>
      </c>
      <c r="D38" s="16" t="s">
        <v>73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546</v>
      </c>
      <c r="J38" s="17" t="n">
        <v>113.711</v>
      </c>
      <c r="K38" s="6" t="s">
        <f>=Портфель!F21*Портфель!$Q$13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45931</v>
      </c>
      <c r="B39" s="16" t="s">
        <v>887</v>
      </c>
      <c r="C39" s="16" t="s">
        <v>72</v>
      </c>
      <c r="D39" s="16" t="s">
        <v>73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147</v>
      </c>
      <c r="J39" s="17" t="n">
        <v>116.953</v>
      </c>
      <c r="K39" s="6" t="s">
        <f>=Портфель!F21*Портфель!$Q$13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45474</v>
      </c>
      <c r="B40" s="16" t="s">
        <v>887</v>
      </c>
      <c r="C40" s="16" t="s">
        <v>74</v>
      </c>
      <c r="D40" s="16" t="s">
        <v>75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604</v>
      </c>
      <c r="J40" s="17" t="n">
        <v>177.783</v>
      </c>
      <c r="K40" s="6" t="s">
        <f>=Портфель!F22*Портфель!$Q$13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45484</v>
      </c>
      <c r="B41" s="16" t="s">
        <v>887</v>
      </c>
      <c r="C41" s="16" t="s">
        <v>74</v>
      </c>
      <c r="D41" s="16" t="s">
        <v>75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594</v>
      </c>
      <c r="J41" s="17" t="n">
        <v>166.433</v>
      </c>
      <c r="K41" s="6" t="s">
        <f>=Портфель!F22*Портфель!$Q$13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44644</v>
      </c>
      <c r="B42" s="16" t="s">
        <v>887</v>
      </c>
      <c r="C42" s="16" t="s">
        <v>76</v>
      </c>
      <c r="D42" s="16" t="s">
        <v>77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1434</v>
      </c>
      <c r="J42" s="17" t="n">
        <v>92.755</v>
      </c>
      <c r="K42" s="6" t="s">
        <f>=Портфель!F23*Портфель!$Q$13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45036</v>
      </c>
      <c r="B43" s="16" t="s">
        <v>887</v>
      </c>
      <c r="C43" s="16" t="s">
        <v>78</v>
      </c>
      <c r="D43" s="16" t="s">
        <v>79</v>
      </c>
      <c r="E43" s="17" t="n">
        <v>2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1042</v>
      </c>
      <c r="J43" s="17" t="n">
        <v>605.305</v>
      </c>
      <c r="K43" s="6" t="s">
        <f>=Портфель!F24*Портфель!$Q$13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45044</v>
      </c>
      <c r="B44" s="16" t="s">
        <v>887</v>
      </c>
      <c r="C44" s="16" t="s">
        <v>78</v>
      </c>
      <c r="D44" s="16" t="s">
        <v>79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1034</v>
      </c>
      <c r="J44" s="17" t="n">
        <v>597.8</v>
      </c>
      <c r="K44" s="6" t="s">
        <f>=Портфель!F24*Портфель!$Q$13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45083</v>
      </c>
      <c r="B45" s="16" t="s">
        <v>887</v>
      </c>
      <c r="C45" s="16" t="s">
        <v>78</v>
      </c>
      <c r="D45" s="16" t="s">
        <v>79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995</v>
      </c>
      <c r="J45" s="17" t="n">
        <v>577.29</v>
      </c>
      <c r="K45" s="6" t="s">
        <f>=Портфель!F24*Портфель!$Q$13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44659</v>
      </c>
      <c r="B46" s="16" t="s">
        <v>887</v>
      </c>
      <c r="C46" s="16" t="s">
        <v>80</v>
      </c>
      <c r="D46" s="16" t="s">
        <v>81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1419</v>
      </c>
      <c r="J46" s="17" t="n">
        <v>85.342</v>
      </c>
      <c r="K46" s="6" t="s">
        <f>=Портфель!F25*Портфель!$Q$13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44727</v>
      </c>
      <c r="B47" s="16" t="s">
        <v>887</v>
      </c>
      <c r="C47" s="16" t="s">
        <v>80</v>
      </c>
      <c r="D47" s="16" t="s">
        <v>81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1351</v>
      </c>
      <c r="J47" s="17" t="n">
        <v>66.49</v>
      </c>
      <c r="K47" s="6" t="s">
        <f>=Портфель!F25*Портфель!$Q$13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44746</v>
      </c>
      <c r="B48" s="16" t="s">
        <v>887</v>
      </c>
      <c r="C48" s="16" t="s">
        <v>80</v>
      </c>
      <c r="D48" s="16" t="s">
        <v>81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1332</v>
      </c>
      <c r="J48" s="17" t="n">
        <v>64.589</v>
      </c>
      <c r="K48" s="6" t="s">
        <f>=Портфель!F25*Портфель!$Q$13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44763</v>
      </c>
      <c r="B49" s="16" t="s">
        <v>887</v>
      </c>
      <c r="C49" s="16" t="s">
        <v>80</v>
      </c>
      <c r="D49" s="16" t="s">
        <v>81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1315</v>
      </c>
      <c r="J49" s="17" t="n">
        <v>59.916</v>
      </c>
      <c r="K49" s="6" t="s">
        <f>=Портфель!F25*Портфель!$Q$13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44761</v>
      </c>
      <c r="B50" s="16" t="s">
        <v>887</v>
      </c>
      <c r="C50" s="16" t="s">
        <v>82</v>
      </c>
      <c r="D50" s="16" t="s">
        <v>83</v>
      </c>
      <c r="E50" s="17" t="n">
        <v>1000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1317</v>
      </c>
      <c r="J50" s="17" t="n">
        <v>1.42885</v>
      </c>
      <c r="K50" s="6" t="s">
        <f>=Портфель!F26*Портфель!$Q$13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45454</v>
      </c>
      <c r="B51" s="16" t="s">
        <v>887</v>
      </c>
      <c r="C51" s="16" t="s">
        <v>84</v>
      </c>
      <c r="D51" s="16" t="s">
        <v>85</v>
      </c>
      <c r="E51" s="17" t="n">
        <v>5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624</v>
      </c>
      <c r="J51" s="17" t="n">
        <v>299.09</v>
      </c>
      <c r="K51" s="6" t="s">
        <f>=Портфель!F27*Портфель!$Q$13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45491</v>
      </c>
      <c r="B52" s="16" t="s">
        <v>887</v>
      </c>
      <c r="C52" s="16" t="s">
        <v>84</v>
      </c>
      <c r="D52" s="16" t="s">
        <v>85</v>
      </c>
      <c r="E52" s="17" t="n">
        <v>5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587</v>
      </c>
      <c r="J52" s="17" t="n">
        <v>249.638</v>
      </c>
      <c r="K52" s="6" t="s">
        <f>=Портфель!F27*Портфель!$Q$13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45491</v>
      </c>
      <c r="B53" s="16" t="s">
        <v>887</v>
      </c>
      <c r="C53" s="16" t="s">
        <v>86</v>
      </c>
      <c r="D53" s="16" t="s">
        <v>87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587</v>
      </c>
      <c r="J53" s="17" t="n">
        <v>859.44</v>
      </c>
      <c r="K53" s="6" t="s">
        <f>=Портфель!F28*Портфель!$Q$13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45272</v>
      </c>
      <c r="B54" s="16" t="s">
        <v>887</v>
      </c>
      <c r="C54" s="16" t="s">
        <v>88</v>
      </c>
      <c r="D54" s="16" t="s">
        <v>89</v>
      </c>
      <c r="E54" s="17" t="n">
        <v>20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806</v>
      </c>
      <c r="J54" s="17" t="n">
        <v>70.176</v>
      </c>
      <c r="K54" s="6" t="s">
        <f>=Портфель!F29*Портфель!$Q$13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44649</v>
      </c>
      <c r="B55" s="16" t="s">
        <v>887</v>
      </c>
      <c r="C55" s="16" t="s">
        <v>90</v>
      </c>
      <c r="D55" s="16" t="s">
        <v>91</v>
      </c>
      <c r="E55" s="17" t="n">
        <v>100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1429</v>
      </c>
      <c r="J55" s="17" t="n">
        <v>1.9312</v>
      </c>
      <c r="K55" s="6" t="s">
        <f>=Портфель!F30*Портфель!$Q$13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44777</v>
      </c>
      <c r="B56" s="16" t="s">
        <v>887</v>
      </c>
      <c r="C56" s="16" t="s">
        <v>90</v>
      </c>
      <c r="D56" s="16" t="s">
        <v>91</v>
      </c>
      <c r="E56" s="17" t="n">
        <v>100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1301</v>
      </c>
      <c r="J56" s="17" t="n">
        <v>3.1234</v>
      </c>
      <c r="K56" s="6" t="s">
        <f>=Портфель!F30*Портфель!$Q$13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45120</v>
      </c>
      <c r="B57" s="16" t="s">
        <v>887</v>
      </c>
      <c r="C57" s="16" t="s">
        <v>90</v>
      </c>
      <c r="D57" s="16" t="s">
        <v>91</v>
      </c>
      <c r="E57" s="17" t="n">
        <v>100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958</v>
      </c>
      <c r="J57" s="17" t="n">
        <v>4.1558</v>
      </c>
      <c r="K57" s="6" t="s">
        <f>=Портфель!F30*Портфель!$Q$13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45537</v>
      </c>
      <c r="B58" s="16" t="s">
        <v>887</v>
      </c>
      <c r="C58" s="16" t="s">
        <v>90</v>
      </c>
      <c r="D58" s="16" t="s">
        <v>91</v>
      </c>
      <c r="E58" s="17" t="n">
        <v>100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541</v>
      </c>
      <c r="J58" s="17" t="n">
        <v>3.6269</v>
      </c>
      <c r="K58" s="6" t="s">
        <f>=Портфель!F30*Портфель!$Q$13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45530</v>
      </c>
      <c r="B59" s="16" t="s">
        <v>887</v>
      </c>
      <c r="C59" s="16" t="s">
        <v>92</v>
      </c>
      <c r="D59" s="16" t="s">
        <v>93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548</v>
      </c>
      <c r="J59" s="17" t="n">
        <v>2699.76</v>
      </c>
      <c r="K59" s="6" t="s">
        <f>=Портфель!F31*Портфель!$Q$13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44673</v>
      </c>
      <c r="B60" s="16" t="s">
        <v>887</v>
      </c>
      <c r="C60" s="16" t="s">
        <v>94</v>
      </c>
      <c r="D60" s="16" t="s">
        <v>95</v>
      </c>
      <c r="E60" s="17" t="n">
        <v>10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1405</v>
      </c>
      <c r="J60" s="17" t="n">
        <v>207.285</v>
      </c>
      <c r="K60" s="6" t="s">
        <f>=Портфель!F32*Портфель!$Q$13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44734</v>
      </c>
      <c r="B61" s="16" t="s">
        <v>887</v>
      </c>
      <c r="C61" s="16" t="s">
        <v>96</v>
      </c>
      <c r="D61" s="16" t="s">
        <v>97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1344</v>
      </c>
      <c r="J61" s="17" t="n">
        <v>44.007</v>
      </c>
      <c r="K61" s="6" t="s">
        <f>=Портфель!F33*Портфель!$Q$13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44798</v>
      </c>
      <c r="B62" s="16" t="s">
        <v>887</v>
      </c>
      <c r="C62" s="16" t="s">
        <v>96</v>
      </c>
      <c r="D62" s="16" t="s">
        <v>97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1280</v>
      </c>
      <c r="J62" s="17" t="n">
        <v>46.628</v>
      </c>
      <c r="K62" s="6" t="s">
        <f>=Портфель!F33*Портфель!$Q$13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45530</v>
      </c>
      <c r="B63" s="16" t="s">
        <v>887</v>
      </c>
      <c r="C63" s="16" t="s">
        <v>98</v>
      </c>
      <c r="D63" s="16" t="s">
        <v>99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548</v>
      </c>
      <c r="J63" s="17" t="n">
        <v>1243.79</v>
      </c>
      <c r="K63" s="6" t="s">
        <f>=Портфель!F34*Портфель!$Q$13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44715</v>
      </c>
      <c r="B64" s="16" t="s">
        <v>887</v>
      </c>
      <c r="C64" s="16" t="s">
        <v>100</v>
      </c>
      <c r="D64" s="16" t="s">
        <v>101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1363</v>
      </c>
      <c r="J64" s="17" t="n">
        <v>814.29</v>
      </c>
      <c r="K64" s="6" t="s">
        <f>=Портфель!F35*Портфель!$Q$13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44938</v>
      </c>
      <c r="B65" s="16" t="s">
        <v>887</v>
      </c>
      <c r="C65" s="16" t="s">
        <v>102</v>
      </c>
      <c r="D65" s="16" t="s">
        <v>103</v>
      </c>
      <c r="E65" s="17" t="n">
        <v>13402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1141</v>
      </c>
      <c r="J65" s="17" t="n">
        <v>0.08736</v>
      </c>
      <c r="K65" s="6" t="s">
        <f>=Портфель!F36*Портфель!$Q$13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44645</v>
      </c>
      <c r="B66" s="16" t="s">
        <v>887</v>
      </c>
      <c r="C66" s="16" t="s">
        <v>104</v>
      </c>
      <c r="D66" s="16" t="s">
        <v>105</v>
      </c>
      <c r="E66" s="17" t="n">
        <v>10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1433</v>
      </c>
      <c r="J66" s="17" t="n">
        <v>66.715</v>
      </c>
      <c r="K66" s="6" t="s">
        <f>=Портфель!F37*Портфель!$Q$13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44820</v>
      </c>
      <c r="B67" s="16" t="s">
        <v>887</v>
      </c>
      <c r="C67" s="16" t="s">
        <v>104</v>
      </c>
      <c r="D67" s="16" t="s">
        <v>105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1258</v>
      </c>
      <c r="J67" s="17" t="n">
        <v>48.024</v>
      </c>
      <c r="K67" s="6" t="s">
        <f>=Портфель!F37*Портфель!$Q$13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45401</v>
      </c>
      <c r="B68" s="16" t="s">
        <v>887</v>
      </c>
      <c r="C68" s="16" t="s">
        <v>106</v>
      </c>
      <c r="D68" s="16" t="s">
        <v>107</v>
      </c>
      <c r="E68" s="17" t="n">
        <v>3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677</v>
      </c>
      <c r="J68" s="17" t="n">
        <v>555.27666666667</v>
      </c>
      <c r="K68" s="6" t="s">
        <f>=Портфель!F38*Портфель!$Q$13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44873</v>
      </c>
      <c r="B69" s="16" t="s">
        <v>887</v>
      </c>
      <c r="C69" s="16" t="s">
        <v>108</v>
      </c>
      <c r="D69" s="16" t="s">
        <v>109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1205</v>
      </c>
      <c r="J69" s="17" t="n">
        <v>498.25</v>
      </c>
      <c r="K69" s="6" t="s">
        <f>=Портфель!F39*Портфель!$Q$13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44670</v>
      </c>
      <c r="B70" s="16" t="s">
        <v>887</v>
      </c>
      <c r="C70" s="16" t="s">
        <v>110</v>
      </c>
      <c r="D70" s="16" t="s">
        <v>111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1408</v>
      </c>
      <c r="J70" s="17" t="n">
        <v>76.705</v>
      </c>
      <c r="K70" s="6" t="s">
        <f>=Портфель!F40*Портфель!$Q$13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44648</v>
      </c>
      <c r="B71" s="16" t="s">
        <v>887</v>
      </c>
      <c r="C71" s="16" t="s">
        <v>112</v>
      </c>
      <c r="D71" s="16" t="s">
        <v>113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1430</v>
      </c>
      <c r="J71" s="17" t="n">
        <v>75.6</v>
      </c>
      <c r="K71" s="6" t="s">
        <f>=Портфель!F41*Портфель!$Q$13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44960</v>
      </c>
      <c r="B72" s="16" t="s">
        <v>887</v>
      </c>
      <c r="C72" s="16" t="s">
        <v>112</v>
      </c>
      <c r="D72" s="16" t="s">
        <v>113</v>
      </c>
      <c r="E72" s="17" t="n">
        <v>2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1118</v>
      </c>
      <c r="J72" s="17" t="n">
        <v>121.105</v>
      </c>
      <c r="K72" s="6" t="s">
        <f>=Портфель!F41*Портфель!$Q$13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45526</v>
      </c>
      <c r="B73" s="16" t="s">
        <v>887</v>
      </c>
      <c r="C73" s="16" t="s">
        <v>114</v>
      </c>
      <c r="D73" s="16" t="s">
        <v>115</v>
      </c>
      <c r="E73" s="17" t="n">
        <v>3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552</v>
      </c>
      <c r="J73" s="17" t="n">
        <v>220.86666666667</v>
      </c>
      <c r="K73" s="6" t="s">
        <f>=Портфель!F42*Портфель!$Q$13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44746</v>
      </c>
      <c r="B74" s="16" t="s">
        <v>887</v>
      </c>
      <c r="C74" s="16" t="s">
        <v>116</v>
      </c>
      <c r="D74" s="16" t="s">
        <v>117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1332</v>
      </c>
      <c r="J74" s="17" t="n">
        <v>32.019</v>
      </c>
      <c r="K74" s="6" t="s">
        <f>=Портфель!F43*Портфель!$Q$13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44806</v>
      </c>
      <c r="B75" s="16" t="s">
        <v>887</v>
      </c>
      <c r="C75" s="16" t="s">
        <v>118</v>
      </c>
      <c r="D75" s="16" t="s">
        <v>119</v>
      </c>
      <c r="E75" s="17" t="n">
        <v>100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1272</v>
      </c>
      <c r="J75" s="17" t="n">
        <v>7.2053</v>
      </c>
      <c r="K75" s="6" t="s">
        <f>=Портфель!F44*Портфель!$Q$13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45321</v>
      </c>
      <c r="B76" s="16" t="s">
        <v>887</v>
      </c>
      <c r="C76" s="16" t="s">
        <v>121</v>
      </c>
      <c r="D76" s="16" t="s">
        <v>123</v>
      </c>
      <c r="E76" s="17" t="n">
        <v>100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757</v>
      </c>
      <c r="J76" s="17" t="n">
        <v>139.6419</v>
      </c>
      <c r="K76" s="6" t="s">
        <f>=Портфель!F46*Портфель!$Q$13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45327</v>
      </c>
      <c r="B77" s="16" t="s">
        <v>887</v>
      </c>
      <c r="C77" s="16" t="s">
        <v>121</v>
      </c>
      <c r="D77" s="16" t="s">
        <v>123</v>
      </c>
      <c r="E77" s="17" t="n">
        <v>50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751</v>
      </c>
      <c r="J77" s="17" t="n">
        <v>139.7818</v>
      </c>
      <c r="K77" s="6" t="s">
        <f>=Портфель!F46*Портфель!$Q$13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45462</v>
      </c>
      <c r="B78" s="16" t="s">
        <v>887</v>
      </c>
      <c r="C78" s="16" t="s">
        <v>121</v>
      </c>
      <c r="D78" s="16" t="s">
        <v>123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616</v>
      </c>
      <c r="J78" s="17" t="n">
        <v>141.44</v>
      </c>
      <c r="K78" s="6" t="s">
        <f>=Портфель!F46*Портфель!$Q$13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45505</v>
      </c>
      <c r="B79" s="16" t="s">
        <v>887</v>
      </c>
      <c r="C79" s="16" t="s">
        <v>121</v>
      </c>
      <c r="D79" s="16" t="s">
        <v>123</v>
      </c>
      <c r="E79" s="17" t="n">
        <v>3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573</v>
      </c>
      <c r="J79" s="17" t="n">
        <v>143.22333333333</v>
      </c>
      <c r="K79" s="6" t="s">
        <f>=Портфель!F46*Портфель!$Q$13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45506</v>
      </c>
      <c r="B80" s="16" t="s">
        <v>887</v>
      </c>
      <c r="C80" s="16" t="s">
        <v>121</v>
      </c>
      <c r="D80" s="16" t="s">
        <v>123</v>
      </c>
      <c r="E80" s="17" t="n">
        <v>3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572</v>
      </c>
      <c r="J80" s="17" t="n">
        <v>143.00333333333</v>
      </c>
      <c r="K80" s="6" t="s">
        <f>=Портфель!F46*Портфель!$Q$13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45509</v>
      </c>
      <c r="B81" s="16" t="s">
        <v>887</v>
      </c>
      <c r="C81" s="16" t="s">
        <v>121</v>
      </c>
      <c r="D81" s="16" t="s">
        <v>123</v>
      </c>
      <c r="E81" s="17" t="n">
        <v>1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569</v>
      </c>
      <c r="J81" s="17" t="n">
        <v>143.52</v>
      </c>
      <c r="K81" s="6" t="s">
        <f>=Портфель!F46*Портфель!$Q$13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45526</v>
      </c>
      <c r="B82" s="16" t="s">
        <v>887</v>
      </c>
      <c r="C82" s="16" t="s">
        <v>121</v>
      </c>
      <c r="D82" s="16" t="s">
        <v>123</v>
      </c>
      <c r="E82" s="17" t="n">
        <v>4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552</v>
      </c>
      <c r="J82" s="17" t="n">
        <v>143.9025</v>
      </c>
      <c r="K82" s="6" t="s">
        <f>=Портфель!F46*Портфель!$Q$13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45537</v>
      </c>
      <c r="B83" s="16" t="s">
        <v>887</v>
      </c>
      <c r="C83" s="16" t="s">
        <v>121</v>
      </c>
      <c r="D83" s="16" t="s">
        <v>123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541</v>
      </c>
      <c r="J83" s="17" t="n">
        <v>143.2</v>
      </c>
      <c r="K83" s="6" t="s">
        <f>=Портфель!F46*Портфель!$Q$13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45547</v>
      </c>
      <c r="B84" s="16" t="s">
        <v>887</v>
      </c>
      <c r="C84" s="16" t="s">
        <v>121</v>
      </c>
      <c r="D84" s="16" t="s">
        <v>123</v>
      </c>
      <c r="E84" s="17" t="n">
        <v>21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531</v>
      </c>
      <c r="J84" s="17" t="n">
        <v>143.84333333333</v>
      </c>
      <c r="K84" s="6" t="s">
        <f>=Портфель!F46*Портфель!$Q$13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45551</v>
      </c>
      <c r="B85" s="16" t="s">
        <v>887</v>
      </c>
      <c r="C85" s="16" t="s">
        <v>121</v>
      </c>
      <c r="D85" s="16" t="s">
        <v>123</v>
      </c>
      <c r="E85" s="17" t="n">
        <v>106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527</v>
      </c>
      <c r="J85" s="17" t="n">
        <v>143.73745283019</v>
      </c>
      <c r="K85" s="6" t="s">
        <f>=Портфель!F46*Портфель!$Q$13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45553</v>
      </c>
      <c r="B86" s="16" t="s">
        <v>887</v>
      </c>
      <c r="C86" s="16" t="s">
        <v>121</v>
      </c>
      <c r="D86" s="16" t="s">
        <v>123</v>
      </c>
      <c r="E86" s="17" t="n">
        <v>11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525</v>
      </c>
      <c r="J86" s="17" t="n">
        <v>143.50454545455</v>
      </c>
      <c r="K86" s="6" t="s">
        <f>=Портфель!F46*Портфель!$Q$13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45567</v>
      </c>
      <c r="B87" s="16" t="s">
        <v>887</v>
      </c>
      <c r="C87" s="16" t="s">
        <v>121</v>
      </c>
      <c r="D87" s="16" t="s">
        <v>123</v>
      </c>
      <c r="E87" s="17" t="n">
        <v>2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511</v>
      </c>
      <c r="J87" s="17" t="n">
        <v>144.545</v>
      </c>
      <c r="K87" s="6" t="s">
        <f>=Портфель!F46*Портфель!$Q$13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45568</v>
      </c>
      <c r="B88" s="16" t="s">
        <v>887</v>
      </c>
      <c r="C88" s="16" t="s">
        <v>121</v>
      </c>
      <c r="D88" s="16" t="s">
        <v>123</v>
      </c>
      <c r="E88" s="17" t="n">
        <v>3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510</v>
      </c>
      <c r="J88" s="17" t="n">
        <v>144.37666666667</v>
      </c>
      <c r="K88" s="6" t="s">
        <f>=Портфель!F46*Портфель!$Q$13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45573</v>
      </c>
      <c r="B89" s="16" t="s">
        <v>887</v>
      </c>
      <c r="C89" s="16" t="s">
        <v>121</v>
      </c>
      <c r="D89" s="16" t="s">
        <v>123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505</v>
      </c>
      <c r="J89" s="17" t="n">
        <v>144.38</v>
      </c>
      <c r="K89" s="6" t="s">
        <f>=Портфель!F46*Портфель!$Q$13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45574</v>
      </c>
      <c r="B90" s="16" t="s">
        <v>887</v>
      </c>
      <c r="C90" s="16" t="s">
        <v>121</v>
      </c>
      <c r="D90" s="16" t="s">
        <v>123</v>
      </c>
      <c r="E90" s="17" t="n">
        <v>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504</v>
      </c>
      <c r="J90" s="17" t="n">
        <v>144.42</v>
      </c>
      <c r="K90" s="6" t="s">
        <f>=Портфель!F46*Портфель!$Q$13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45628</v>
      </c>
      <c r="B91" s="16" t="s">
        <v>887</v>
      </c>
      <c r="C91" s="16" t="s">
        <v>121</v>
      </c>
      <c r="D91" s="16" t="s">
        <v>123</v>
      </c>
      <c r="E91" s="17" t="n">
        <v>2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450</v>
      </c>
      <c r="J91" s="17" t="n">
        <v>141.645</v>
      </c>
      <c r="K91" s="6" t="s">
        <f>=Портфель!F46*Портфель!$Q$13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45701</v>
      </c>
      <c r="B92" s="16" t="s">
        <v>887</v>
      </c>
      <c r="C92" s="16" t="s">
        <v>121</v>
      </c>
      <c r="D92" s="16" t="s">
        <v>123</v>
      </c>
      <c r="E92" s="17" t="n">
        <v>3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377</v>
      </c>
      <c r="J92" s="17" t="n">
        <v>154.42666666667</v>
      </c>
      <c r="K92" s="6" t="s">
        <f>=Портфель!F46*Портфель!$Q$13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45749</v>
      </c>
      <c r="B93" s="16" t="s">
        <v>887</v>
      </c>
      <c r="C93" s="16" t="s">
        <v>121</v>
      </c>
      <c r="D93" s="16" t="s">
        <v>123</v>
      </c>
      <c r="E93" s="17" t="n">
        <v>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329</v>
      </c>
      <c r="J93" s="17" t="n">
        <v>159.55</v>
      </c>
      <c r="K93" s="6" t="s">
        <f>=Портфель!F46*Портфель!$Q$13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46014</v>
      </c>
      <c r="B94" s="16" t="s">
        <v>887</v>
      </c>
      <c r="C94" s="16" t="s">
        <v>121</v>
      </c>
      <c r="D94" s="16" t="s">
        <v>123</v>
      </c>
      <c r="E94" s="17" t="n">
        <v>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64</v>
      </c>
      <c r="J94" s="17" t="n">
        <v>188.718</v>
      </c>
      <c r="K94" s="6" t="s">
        <f>=Портфель!F46*Портфель!$Q$13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46015</v>
      </c>
      <c r="B95" s="16" t="s">
        <v>887</v>
      </c>
      <c r="C95" s="16" t="s">
        <v>121</v>
      </c>
      <c r="D95" s="16" t="s">
        <v>123</v>
      </c>
      <c r="E95" s="17" t="n">
        <v>514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63</v>
      </c>
      <c r="J95" s="17" t="n">
        <v>188.73774319066</v>
      </c>
      <c r="K95" s="6" t="s">
        <f>=Портфель!F46*Портфель!$Q$13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46049</v>
      </c>
      <c r="B96" s="16" t="s">
        <v>887</v>
      </c>
      <c r="C96" s="16" t="s">
        <v>121</v>
      </c>
      <c r="D96" s="16" t="s">
        <v>123</v>
      </c>
      <c r="E96" s="17" t="n">
        <v>4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29</v>
      </c>
      <c r="J96" s="17" t="n">
        <v>192.3</v>
      </c>
      <c r="K96" s="6" t="s">
        <f>=Портфель!F46*Портфель!$Q$13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46069</v>
      </c>
      <c r="B97" s="16" t="s">
        <v>887</v>
      </c>
      <c r="C97" s="16" t="s">
        <v>121</v>
      </c>
      <c r="D97" s="16" t="s">
        <v>123</v>
      </c>
      <c r="E97" s="17" t="n">
        <v>515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9</v>
      </c>
      <c r="J97" s="17" t="n">
        <v>194.43893203883</v>
      </c>
      <c r="K97" s="6" t="s">
        <f>=Портфель!F46*Портфель!$Q$13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45463</v>
      </c>
      <c r="B98" s="16" t="s">
        <v>887</v>
      </c>
      <c r="C98" s="16" t="s">
        <v>124</v>
      </c>
      <c r="D98" s="16" t="s">
        <v>125</v>
      </c>
      <c r="E98" s="17" t="n">
        <v>31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615</v>
      </c>
      <c r="J98" s="17" t="n">
        <v>136.54096774194</v>
      </c>
      <c r="K98" s="6" t="s">
        <f>=Портфель!F47*Портфель!$Q$13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45527</v>
      </c>
      <c r="B99" s="16" t="s">
        <v>887</v>
      </c>
      <c r="C99" s="16" t="s">
        <v>124</v>
      </c>
      <c r="D99" s="16" t="s">
        <v>125</v>
      </c>
      <c r="E99" s="17" t="n">
        <v>30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551</v>
      </c>
      <c r="J99" s="17" t="n">
        <v>125.18766666667</v>
      </c>
      <c r="K99" s="6" t="s">
        <f>=Портфель!F47*Портфель!$Q$13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45537</v>
      </c>
      <c r="B100" s="16" t="s">
        <v>887</v>
      </c>
      <c r="C100" s="16" t="s">
        <v>124</v>
      </c>
      <c r="D100" s="16" t="s">
        <v>125</v>
      </c>
      <c r="E100" s="17" t="n">
        <v>4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541</v>
      </c>
      <c r="J100" s="17" t="n">
        <v>121.8875</v>
      </c>
      <c r="K100" s="6" t="s">
        <f>=Портфель!F47*Портфель!$Q$13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45594</v>
      </c>
      <c r="B101" s="16" t="s">
        <v>887</v>
      </c>
      <c r="C101" s="16" t="s">
        <v>124</v>
      </c>
      <c r="D101" s="16" t="s">
        <v>125</v>
      </c>
      <c r="E101" s="17" t="n">
        <v>6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484</v>
      </c>
      <c r="J101" s="17" t="n">
        <v>122.23666666667</v>
      </c>
      <c r="K101" s="6" t="s">
        <f>=Портфель!F47*Портфель!$Q$13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45622</v>
      </c>
      <c r="B102" s="16" t="s">
        <v>887</v>
      </c>
      <c r="C102" s="16" t="s">
        <v>124</v>
      </c>
      <c r="D102" s="16" t="s">
        <v>125</v>
      </c>
      <c r="E102" s="17" t="n">
        <v>60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456</v>
      </c>
      <c r="J102" s="17" t="n">
        <v>117.88533333333</v>
      </c>
      <c r="K102" s="6" t="s">
        <f>=Портфель!F47*Портфель!$Q$13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45636</v>
      </c>
      <c r="B103" s="16" t="s">
        <v>887</v>
      </c>
      <c r="C103" s="16" t="s">
        <v>124</v>
      </c>
      <c r="D103" s="16" t="s">
        <v>125</v>
      </c>
      <c r="E103" s="17" t="n">
        <v>4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442</v>
      </c>
      <c r="J103" s="17" t="n">
        <v>119.885</v>
      </c>
      <c r="K103" s="6" t="s">
        <f>=Портфель!F47*Портфель!$Q$13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45971</v>
      </c>
      <c r="B104" s="16" t="s">
        <v>887</v>
      </c>
      <c r="C104" s="16" t="s">
        <v>124</v>
      </c>
      <c r="D104" s="16" t="s">
        <v>125</v>
      </c>
      <c r="E104" s="17" t="n">
        <v>800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107</v>
      </c>
      <c r="J104" s="17" t="n">
        <v>132.426475</v>
      </c>
      <c r="K104" s="6" t="s">
        <f>=Портфель!F47*Портфель!$Q$13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45973</v>
      </c>
      <c r="B105" s="16" t="s">
        <v>887</v>
      </c>
      <c r="C105" s="16" t="s">
        <v>124</v>
      </c>
      <c r="D105" s="16" t="s">
        <v>125</v>
      </c>
      <c r="E105" s="17" t="n">
        <v>78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105</v>
      </c>
      <c r="J105" s="17" t="n">
        <v>129.7258974359</v>
      </c>
      <c r="K105" s="6" t="s">
        <f>=Портфель!F47*Портфель!$Q$13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45974</v>
      </c>
      <c r="B106" s="16" t="s">
        <v>887</v>
      </c>
      <c r="C106" s="16" t="s">
        <v>124</v>
      </c>
      <c r="D106" s="16" t="s">
        <v>125</v>
      </c>
      <c r="E106" s="17" t="n">
        <v>3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104</v>
      </c>
      <c r="J106" s="17" t="n">
        <v>129.72666666667</v>
      </c>
      <c r="K106" s="6" t="s">
        <f>=Портфель!F47*Портфель!$Q$13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45324</v>
      </c>
      <c r="B107" s="16" t="s">
        <v>887</v>
      </c>
      <c r="C107" s="16" t="s">
        <v>126</v>
      </c>
      <c r="D107" s="16" t="s">
        <v>127</v>
      </c>
      <c r="E107" s="17" t="n">
        <v>600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754</v>
      </c>
      <c r="J107" s="17" t="n">
        <v>134.69285714286</v>
      </c>
      <c r="K107" s="6" t="s">
        <f>=Портфель!F48*Портфель!$Q$6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45418</v>
      </c>
      <c r="B108" s="16" t="s">
        <v>887</v>
      </c>
      <c r="C108" s="16" t="s">
        <v>126</v>
      </c>
      <c r="D108" s="16" t="s">
        <v>127</v>
      </c>
      <c r="E108" s="17" t="n">
        <v>100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660</v>
      </c>
      <c r="J108" s="17" t="n">
        <v>136.748844</v>
      </c>
      <c r="K108" s="6" t="s">
        <f>=Портфель!F48*Портфель!$Q$6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45635</v>
      </c>
      <c r="B109" s="16" t="s">
        <v>887</v>
      </c>
      <c r="C109" s="16" t="s">
        <v>126</v>
      </c>
      <c r="D109" s="16" t="s">
        <v>127</v>
      </c>
      <c r="E109" s="17" t="n">
        <v>18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443</v>
      </c>
      <c r="J109" s="17" t="n">
        <v>159.5</v>
      </c>
      <c r="K109" s="6" t="s">
        <f>=Портфель!F48*Портфель!$Q$6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45695</v>
      </c>
      <c r="B110" s="16" t="s">
        <v>887</v>
      </c>
      <c r="C110" s="16" t="s">
        <v>126</v>
      </c>
      <c r="D110" s="16" t="s">
        <v>127</v>
      </c>
      <c r="E110" s="17" t="n">
        <v>42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383</v>
      </c>
      <c r="J110" s="17" t="n">
        <v>148.21428571429</v>
      </c>
      <c r="K110" s="6" t="s">
        <f>=Портфель!F48*Портфель!$Q$6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45698</v>
      </c>
      <c r="B111" s="16" t="s">
        <v>887</v>
      </c>
      <c r="C111" s="16" t="s">
        <v>126</v>
      </c>
      <c r="D111" s="16" t="s">
        <v>127</v>
      </c>
      <c r="E111" s="17" t="n">
        <v>2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380</v>
      </c>
      <c r="J111" s="17" t="n">
        <v>148.72</v>
      </c>
      <c r="K111" s="6" t="s">
        <f>=Портфель!F48*Портфель!$Q$6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45783</v>
      </c>
      <c r="B112" s="16" t="s">
        <v>887</v>
      </c>
      <c r="C112" s="16" t="s">
        <v>126</v>
      </c>
      <c r="D112" s="16" t="s">
        <v>127</v>
      </c>
      <c r="E112" s="17" t="n">
        <v>2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295</v>
      </c>
      <c r="J112" s="17" t="n">
        <v>126.04</v>
      </c>
      <c r="K112" s="6" t="s">
        <f>=Портфель!F48*Портфель!$Q$6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45789</v>
      </c>
      <c r="B113" s="16" t="s">
        <v>887</v>
      </c>
      <c r="C113" s="16" t="s">
        <v>126</v>
      </c>
      <c r="D113" s="16" t="s">
        <v>127</v>
      </c>
      <c r="E113" s="17" t="n">
        <v>2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289</v>
      </c>
      <c r="J113" s="17" t="n">
        <v>126.15</v>
      </c>
      <c r="K113" s="6" t="s">
        <f>=Портфель!F48*Портфель!$Q$6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45790</v>
      </c>
      <c r="B114" s="16" t="s">
        <v>887</v>
      </c>
      <c r="C114" s="16" t="s">
        <v>126</v>
      </c>
      <c r="D114" s="16" t="s">
        <v>127</v>
      </c>
      <c r="E114" s="17" t="n">
        <v>3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288</v>
      </c>
      <c r="J114" s="17" t="n">
        <v>124.96</v>
      </c>
      <c r="K114" s="6" t="s">
        <f>=Портфель!F48*Портфель!$Q$6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45950</v>
      </c>
      <c r="B115" s="16" t="s">
        <v>887</v>
      </c>
      <c r="C115" s="16" t="s">
        <v>128</v>
      </c>
      <c r="D115" s="16" t="s">
        <v>129</v>
      </c>
      <c r="E115" s="17" t="n">
        <v>27338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128</v>
      </c>
      <c r="J115" s="17" t="n">
        <v>1.8269</v>
      </c>
      <c r="K115" s="6" t="s">
        <f>=Портфель!F49*Портфель!$Q$13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45951</v>
      </c>
      <c r="B116" s="16" t="s">
        <v>887</v>
      </c>
      <c r="C116" s="16" t="s">
        <v>128</v>
      </c>
      <c r="D116" s="16" t="s">
        <v>129</v>
      </c>
      <c r="E116" s="17" t="n">
        <v>200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127</v>
      </c>
      <c r="J116" s="17" t="n">
        <v>1.8277</v>
      </c>
      <c r="K116" s="6" t="s">
        <f>=Портфель!F49*Портфель!$Q$13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45962</v>
      </c>
      <c r="B117" s="16" t="s">
        <v>887</v>
      </c>
      <c r="C117" s="16" t="s">
        <v>128</v>
      </c>
      <c r="D117" s="16" t="s">
        <v>129</v>
      </c>
      <c r="E117" s="17" t="n">
        <v>120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116</v>
      </c>
      <c r="J117" s="17" t="n">
        <v>1.8371666666667</v>
      </c>
      <c r="K117" s="6" t="s">
        <f>=Портфель!F49*Портфель!$Q$13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45966</v>
      </c>
      <c r="B118" s="16" t="s">
        <v>887</v>
      </c>
      <c r="C118" s="16" t="s">
        <v>128</v>
      </c>
      <c r="D118" s="16" t="s">
        <v>129</v>
      </c>
      <c r="E118" s="17" t="n">
        <v>370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112</v>
      </c>
      <c r="J118" s="17" t="n">
        <v>1.8395945945946</v>
      </c>
      <c r="K118" s="6" t="s">
        <f>=Портфель!F49*Портфель!$Q$13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45980</v>
      </c>
      <c r="B119" s="16" t="s">
        <v>887</v>
      </c>
      <c r="C119" s="16" t="s">
        <v>128</v>
      </c>
      <c r="D119" s="16" t="s">
        <v>129</v>
      </c>
      <c r="E119" s="17" t="n">
        <v>60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98</v>
      </c>
      <c r="J119" s="17" t="n">
        <v>1.8508333333333</v>
      </c>
      <c r="K119" s="6" t="s">
        <f>=Портфель!F49*Портфель!$Q$13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45992</v>
      </c>
      <c r="B120" s="16" t="s">
        <v>887</v>
      </c>
      <c r="C120" s="16" t="s">
        <v>128</v>
      </c>
      <c r="D120" s="16" t="s">
        <v>129</v>
      </c>
      <c r="E120" s="17" t="n">
        <v>110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86</v>
      </c>
      <c r="J120" s="17" t="n">
        <v>1.861</v>
      </c>
      <c r="K120" s="6" t="s">
        <f>=Портфель!F49*Портфель!$Q$13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45994</v>
      </c>
      <c r="B121" s="16" t="s">
        <v>887</v>
      </c>
      <c r="C121" s="16" t="s">
        <v>128</v>
      </c>
      <c r="D121" s="16" t="s">
        <v>129</v>
      </c>
      <c r="E121" s="17" t="n">
        <v>150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84</v>
      </c>
      <c r="J121" s="17" t="n">
        <v>1.8626</v>
      </c>
      <c r="K121" s="6" t="s">
        <f>=Портфель!F49*Портфель!$Q$13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45999</v>
      </c>
      <c r="B122" s="16" t="s">
        <v>887</v>
      </c>
      <c r="C122" s="16" t="s">
        <v>128</v>
      </c>
      <c r="D122" s="16" t="s">
        <v>129</v>
      </c>
      <c r="E122" s="17" t="n">
        <v>200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79</v>
      </c>
      <c r="J122" s="17" t="n">
        <v>1.8665</v>
      </c>
      <c r="K122" s="6" t="s">
        <f>=Портфель!F49*Портфель!$Q$13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46001</v>
      </c>
      <c r="B123" s="16" t="s">
        <v>887</v>
      </c>
      <c r="C123" s="16" t="s">
        <v>128</v>
      </c>
      <c r="D123" s="16" t="s">
        <v>129</v>
      </c>
      <c r="E123" s="17" t="n">
        <v>90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77</v>
      </c>
      <c r="J123" s="17" t="n">
        <v>1.8682222222222</v>
      </c>
      <c r="K123" s="6" t="s">
        <f>=Портфель!F49*Портфель!$Q$13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46057</v>
      </c>
      <c r="B124" s="16" t="s">
        <v>887</v>
      </c>
      <c r="C124" s="16" t="s">
        <v>128</v>
      </c>
      <c r="D124" s="16" t="s">
        <v>129</v>
      </c>
      <c r="E124" s="17" t="n">
        <v>1980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21</v>
      </c>
      <c r="J124" s="17" t="n">
        <v>1.913202020202</v>
      </c>
      <c r="K124" s="6" t="s">
        <f>=Портфель!F49*Портфель!$Q$13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46065</v>
      </c>
      <c r="B125" s="16" t="s">
        <v>887</v>
      </c>
      <c r="C125" s="16" t="s">
        <v>128</v>
      </c>
      <c r="D125" s="16" t="s">
        <v>129</v>
      </c>
      <c r="E125" s="17" t="n">
        <v>280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13</v>
      </c>
      <c r="J125" s="17" t="n">
        <v>1.9197142857143</v>
      </c>
      <c r="K125" s="6" t="s">
        <f>=Портфель!F49*Портфель!$Q$13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44894</v>
      </c>
      <c r="B126" s="16" t="s">
        <v>887</v>
      </c>
      <c r="C126" s="16" t="s">
        <v>130</v>
      </c>
      <c r="D126" s="16" t="s">
        <v>131</v>
      </c>
      <c r="E126" s="17" t="n">
        <v>1100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1184</v>
      </c>
      <c r="J126" s="17" t="n">
        <v>0.88236428571429</v>
      </c>
      <c r="K126" s="6" t="s">
        <f>=Портфель!F50*Портфель!$Q$13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44895</v>
      </c>
      <c r="B127" s="16" t="s">
        <v>887</v>
      </c>
      <c r="C127" s="16" t="s">
        <v>130</v>
      </c>
      <c r="D127" s="16" t="s">
        <v>131</v>
      </c>
      <c r="E127" s="17" t="n">
        <v>1640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1183</v>
      </c>
      <c r="J127" s="17" t="n">
        <v>0.88611585365854</v>
      </c>
      <c r="K127" s="6" t="s">
        <f>=Портфель!F50*Портфель!$Q$13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45272</v>
      </c>
      <c r="B128" s="16" t="s">
        <v>887</v>
      </c>
      <c r="C128" s="16" t="s">
        <v>130</v>
      </c>
      <c r="D128" s="16" t="s">
        <v>131</v>
      </c>
      <c r="E128" s="17" t="n">
        <v>4000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806</v>
      </c>
      <c r="J128" s="17" t="n">
        <v>1.4734425</v>
      </c>
      <c r="K128" s="6" t="s">
        <f>=Портфель!F50*Портфель!$Q$13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45327</v>
      </c>
      <c r="B129" s="16" t="s">
        <v>887</v>
      </c>
      <c r="C129" s="16" t="s">
        <v>130</v>
      </c>
      <c r="D129" s="16" t="s">
        <v>131</v>
      </c>
      <c r="E129" s="17" t="n">
        <v>600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751</v>
      </c>
      <c r="J129" s="17" t="n">
        <v>1.5099666666667</v>
      </c>
      <c r="K129" s="6" t="s">
        <f>=Портфель!F50*Портфель!$Q$13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45454</v>
      </c>
      <c r="B130" s="16" t="s">
        <v>887</v>
      </c>
      <c r="C130" s="16" t="s">
        <v>130</v>
      </c>
      <c r="D130" s="16" t="s">
        <v>131</v>
      </c>
      <c r="E130" s="17" t="n">
        <v>6000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624</v>
      </c>
      <c r="J130" s="17" t="n">
        <v>1.6783033333333</v>
      </c>
      <c r="K130" s="6" t="s">
        <f>=Портфель!F50*Портфель!$Q$13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45742</v>
      </c>
      <c r="B131" s="16" t="s">
        <v>887</v>
      </c>
      <c r="C131" s="16" t="s">
        <v>130</v>
      </c>
      <c r="D131" s="16" t="s">
        <v>131</v>
      </c>
      <c r="E131" s="17" t="n">
        <v>320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336</v>
      </c>
      <c r="J131" s="17" t="n">
        <v>2.08765625</v>
      </c>
      <c r="K131" s="6" t="s">
        <f>=Портфель!F50*Портфель!$Q$13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45757</v>
      </c>
      <c r="B132" s="16" t="s">
        <v>887</v>
      </c>
      <c r="C132" s="16" t="s">
        <v>130</v>
      </c>
      <c r="D132" s="16" t="s">
        <v>131</v>
      </c>
      <c r="E132" s="17" t="n">
        <v>1100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321</v>
      </c>
      <c r="J132" s="17" t="n">
        <v>2.1801545454545</v>
      </c>
      <c r="K132" s="6" t="s">
        <f>=Портфель!F50*Портфель!$Q$13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45789</v>
      </c>
      <c r="B133" s="16" t="s">
        <v>887</v>
      </c>
      <c r="C133" s="16" t="s">
        <v>130</v>
      </c>
      <c r="D133" s="16" t="s">
        <v>131</v>
      </c>
      <c r="E133" s="17" t="n">
        <v>35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289</v>
      </c>
      <c r="J133" s="17" t="n">
        <v>2.1431428571429</v>
      </c>
      <c r="K133" s="6" t="s">
        <f>=Портфель!F50*Портфель!$Q$13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 t="n">
        <v>45803</v>
      </c>
      <c r="B134" s="16" t="s">
        <v>887</v>
      </c>
      <c r="C134" s="16" t="s">
        <v>130</v>
      </c>
      <c r="D134" s="16" t="s">
        <v>131</v>
      </c>
      <c r="E134" s="17" t="n">
        <v>19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275</v>
      </c>
      <c r="J134" s="17" t="n">
        <v>2.1426315789474</v>
      </c>
      <c r="K134" s="6" t="s">
        <f>=Портфель!F50*Портфель!$Q$13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0" t="n">
        <v>45817</v>
      </c>
      <c r="B135" s="16" t="s">
        <v>887</v>
      </c>
      <c r="C135" s="16" t="s">
        <v>130</v>
      </c>
      <c r="D135" s="16" t="s">
        <v>131</v>
      </c>
      <c r="E135" s="17" t="n">
        <v>200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261</v>
      </c>
      <c r="J135" s="17" t="n">
        <v>2.1306</v>
      </c>
      <c r="K135" s="6" t="s">
        <f>=Портфель!F50*Портфель!$Q$13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0" t="n">
        <v>45840</v>
      </c>
      <c r="B136" s="16" t="s">
        <v>887</v>
      </c>
      <c r="C136" s="16" t="s">
        <v>130</v>
      </c>
      <c r="D136" s="16" t="s">
        <v>131</v>
      </c>
      <c r="E136" s="17" t="n">
        <v>100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238</v>
      </c>
      <c r="J136" s="17" t="n">
        <v>2.1092</v>
      </c>
      <c r="K136" s="6" t="s">
        <f>=Портфель!F50*Портфель!$Q$13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0" t="n">
        <v>45846</v>
      </c>
      <c r="B137" s="16" t="s">
        <v>887</v>
      </c>
      <c r="C137" s="16" t="s">
        <v>130</v>
      </c>
      <c r="D137" s="16" t="s">
        <v>131</v>
      </c>
      <c r="E137" s="17" t="n">
        <v>350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232</v>
      </c>
      <c r="J137" s="17" t="n">
        <v>2.0841428571429</v>
      </c>
      <c r="K137" s="6" t="s">
        <f>=Портфель!F50*Портфель!$Q$13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0" t="n">
        <v>45369</v>
      </c>
      <c r="B138" s="16" t="s">
        <v>887</v>
      </c>
      <c r="C138" s="16" t="s">
        <v>134</v>
      </c>
      <c r="D138" s="16" t="s">
        <v>136</v>
      </c>
      <c r="E138" s="17" t="n">
        <v>10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709</v>
      </c>
      <c r="J138" s="17" t="n">
        <v>628.566</v>
      </c>
      <c r="K138" s="6" t="s">
        <f>=Портфель!F52*Портфель!G52/100*Портфель!$Q$13+Портфель!H52*Портфель!$Q$13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0" t="n">
        <v>45429</v>
      </c>
      <c r="B139" s="16" t="s">
        <v>887</v>
      </c>
      <c r="C139" s="16" t="s">
        <v>134</v>
      </c>
      <c r="D139" s="16" t="s">
        <v>136</v>
      </c>
      <c r="E139" s="17" t="n">
        <v>17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649</v>
      </c>
      <c r="J139" s="17" t="n">
        <v>608.82411764706</v>
      </c>
      <c r="K139" s="6" t="s">
        <f>=Портфель!F52*Портфель!G52/100*Портфель!$Q$13+Портфель!H52*Портфель!$Q$13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0" t="n">
        <v>45447</v>
      </c>
      <c r="B140" s="16" t="s">
        <v>887</v>
      </c>
      <c r="C140" s="16" t="s">
        <v>134</v>
      </c>
      <c r="D140" s="16" t="s">
        <v>136</v>
      </c>
      <c r="E140" s="17" t="n">
        <v>10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631</v>
      </c>
      <c r="J140" s="17" t="n">
        <v>549.957</v>
      </c>
      <c r="K140" s="6" t="s">
        <f>=Портфель!F52*Портфель!G52/100*Портфель!$Q$13+Портфель!H52*Портфель!$Q$13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0" t="n">
        <v>45461</v>
      </c>
      <c r="B141" s="16" t="s">
        <v>887</v>
      </c>
      <c r="C141" s="16" t="s">
        <v>134</v>
      </c>
      <c r="D141" s="16" t="s">
        <v>136</v>
      </c>
      <c r="E141" s="17" t="n">
        <v>20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617</v>
      </c>
      <c r="J141" s="17" t="n">
        <v>537.493</v>
      </c>
      <c r="K141" s="6" t="s">
        <f>=Портфель!F52*Портфель!G52/100*Портфель!$Q$13+Портфель!H52*Портфель!$Q$13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0" t="n">
        <v>45462</v>
      </c>
      <c r="B142" s="16" t="s">
        <v>887</v>
      </c>
      <c r="C142" s="16" t="s">
        <v>134</v>
      </c>
      <c r="D142" s="16" t="s">
        <v>136</v>
      </c>
      <c r="E142" s="17" t="n">
        <v>1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616</v>
      </c>
      <c r="J142" s="17" t="n">
        <v>533.02</v>
      </c>
      <c r="K142" s="6" t="s">
        <f>=Портфель!F52*Портфель!G52/100*Портфель!$Q$13+Портфель!H52*Портфель!$Q$13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0" t="n">
        <v>45488</v>
      </c>
      <c r="B143" s="16" t="s">
        <v>887</v>
      </c>
      <c r="C143" s="16" t="s">
        <v>134</v>
      </c>
      <c r="D143" s="16" t="s">
        <v>136</v>
      </c>
      <c r="E143" s="17" t="n">
        <v>30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590</v>
      </c>
      <c r="J143" s="17" t="n">
        <v>528.482</v>
      </c>
      <c r="K143" s="6" t="s">
        <f>=Портфель!F52*Портфель!G52/100*Портфель!$Q$13+Портфель!H52*Портфель!$Q$13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0" t="n">
        <v>45369</v>
      </c>
      <c r="B144" s="16" t="s">
        <v>887</v>
      </c>
      <c r="C144" s="16" t="s">
        <v>138</v>
      </c>
      <c r="D144" s="16" t="s">
        <v>139</v>
      </c>
      <c r="E144" s="17" t="n">
        <v>10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709</v>
      </c>
      <c r="J144" s="17" t="n">
        <v>651.597</v>
      </c>
      <c r="K144" s="6" t="s">
        <f>=Портфель!F53*Портфель!G53/100*Портфель!$Q$13+Портфель!H53*Портфель!$Q$13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0" t="n">
        <v>45429</v>
      </c>
      <c r="B145" s="16" t="s">
        <v>887</v>
      </c>
      <c r="C145" s="16" t="s">
        <v>138</v>
      </c>
      <c r="D145" s="16" t="s">
        <v>139</v>
      </c>
      <c r="E145" s="17" t="n">
        <v>20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649</v>
      </c>
      <c r="J145" s="17" t="n">
        <v>627.7565</v>
      </c>
      <c r="K145" s="6" t="s">
        <f>=Портфель!F53*Портфель!G53/100*Портфель!$Q$13+Портфель!H53*Портфель!$Q$13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0" t="n">
        <v>45464</v>
      </c>
      <c r="B146" s="16" t="s">
        <v>887</v>
      </c>
      <c r="C146" s="16" t="s">
        <v>138</v>
      </c>
      <c r="D146" s="16" t="s">
        <v>139</v>
      </c>
      <c r="E146" s="17" t="n">
        <v>20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614</v>
      </c>
      <c r="J146" s="17" t="n">
        <v>582.5955</v>
      </c>
      <c r="K146" s="6" t="s">
        <f>=Портфель!F53*Портфель!G53/100*Портфель!$Q$13+Портфель!H53*Портфель!$Q$13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0" t="n">
        <v>45488</v>
      </c>
      <c r="B147" s="16" t="s">
        <v>887</v>
      </c>
      <c r="C147" s="16" t="s">
        <v>138</v>
      </c>
      <c r="D147" s="16" t="s">
        <v>139</v>
      </c>
      <c r="E147" s="17" t="n">
        <v>30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590</v>
      </c>
      <c r="J147" s="17" t="n">
        <v>577.189</v>
      </c>
      <c r="K147" s="6" t="s">
        <f>=Портфель!F53*Портфель!G53/100*Портфель!$Q$13+Портфель!H53*Портфель!$Q$13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0" t="n">
        <v>45509</v>
      </c>
      <c r="B148" s="16" t="s">
        <v>887</v>
      </c>
      <c r="C148" s="16" t="s">
        <v>141</v>
      </c>
      <c r="D148" s="16" t="s">
        <v>142</v>
      </c>
      <c r="E148" s="17" t="n">
        <v>47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569</v>
      </c>
      <c r="J148" s="17" t="n">
        <v>703.00914893617</v>
      </c>
      <c r="K148" s="6" t="s">
        <f>=Портфель!F54*Портфель!G54/100*Портфель!$Q$13+Портфель!H54*Портфель!$Q$13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0" t="n">
        <v>45560</v>
      </c>
      <c r="B149" s="16" t="s">
        <v>887</v>
      </c>
      <c r="C149" s="16" t="s">
        <v>141</v>
      </c>
      <c r="D149" s="16" t="s">
        <v>142</v>
      </c>
      <c r="E149" s="17" t="n">
        <v>3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518</v>
      </c>
      <c r="J149" s="17" t="n">
        <v>703.99333333333</v>
      </c>
      <c r="K149" s="6" t="s">
        <f>=Портфель!F54*Портфель!G54/100*Портфель!$Q$13+Портфель!H54*Портфель!$Q$13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0" t="n">
        <v>45568</v>
      </c>
      <c r="B150" s="16" t="s">
        <v>887</v>
      </c>
      <c r="C150" s="16" t="s">
        <v>141</v>
      </c>
      <c r="D150" s="16" t="s">
        <v>142</v>
      </c>
      <c r="E150" s="17" t="n">
        <v>3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510</v>
      </c>
      <c r="J150" s="17" t="n">
        <v>685.25333333333</v>
      </c>
      <c r="K150" s="6" t="s">
        <f>=Портфель!F54*Портфель!G54/100*Портфель!$Q$13+Портфель!H54*Портфель!$Q$13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0" t="n">
        <v>45369</v>
      </c>
      <c r="B151" s="16" t="s">
        <v>887</v>
      </c>
      <c r="C151" s="16" t="s">
        <v>144</v>
      </c>
      <c r="D151" s="16" t="s">
        <v>145</v>
      </c>
      <c r="E151" s="17" t="n">
        <v>10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709</v>
      </c>
      <c r="J151" s="17" t="n">
        <v>953.531</v>
      </c>
      <c r="K151" s="6" t="s">
        <f>=Портфель!F55*Портфель!G55/100*Портфель!$Q$13+Портфель!H55*Портфель!$Q$13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0" t="n">
        <v>45391</v>
      </c>
      <c r="B152" s="16" t="s">
        <v>887</v>
      </c>
      <c r="C152" s="16" t="s">
        <v>144</v>
      </c>
      <c r="D152" s="16" t="s">
        <v>145</v>
      </c>
      <c r="E152" s="17" t="n">
        <v>10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687</v>
      </c>
      <c r="J152" s="17" t="n">
        <v>896.355</v>
      </c>
      <c r="K152" s="6" t="s">
        <f>=Портфель!F55*Портфель!G55/100*Портфель!$Q$13+Портфель!H55*Портфель!$Q$13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0" t="n">
        <v>45551</v>
      </c>
      <c r="B153" s="16" t="s">
        <v>887</v>
      </c>
      <c r="C153" s="16" t="s">
        <v>144</v>
      </c>
      <c r="D153" s="16" t="s">
        <v>145</v>
      </c>
      <c r="E153" s="17" t="n">
        <v>20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527</v>
      </c>
      <c r="J153" s="17" t="n">
        <v>845.073</v>
      </c>
      <c r="K153" s="6" t="s">
        <f>=Портфель!F55*Портфель!G55/100*Портфель!$Q$13+Портфель!H55*Портфель!$Q$13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0" t="n">
        <v>45280</v>
      </c>
      <c r="B154" s="16" t="s">
        <v>887</v>
      </c>
      <c r="C154" s="16" t="s">
        <v>147</v>
      </c>
      <c r="D154" s="16" t="s">
        <v>148</v>
      </c>
      <c r="E154" s="17" t="n">
        <v>3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798</v>
      </c>
      <c r="J154" s="17" t="n">
        <v>983.69</v>
      </c>
      <c r="K154" s="6" t="s">
        <f>=Портфель!F56*Портфель!G56/100*Портфель!$Q$13+Портфель!H56*Портфель!$Q$13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0" t="n">
        <v>45496</v>
      </c>
      <c r="B155" s="16" t="s">
        <v>887</v>
      </c>
      <c r="C155" s="16" t="s">
        <v>147</v>
      </c>
      <c r="D155" s="16" t="s">
        <v>148</v>
      </c>
      <c r="E155" s="17" t="n">
        <v>5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582</v>
      </c>
      <c r="J155" s="17" t="n">
        <v>896.88</v>
      </c>
      <c r="K155" s="6" t="s">
        <f>=Портфель!F56*Портфель!G56/100*Портфель!$Q$13+Портфель!H56*Портфель!$Q$13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0" t="n">
        <v>45901</v>
      </c>
      <c r="B156" s="16" t="s">
        <v>887</v>
      </c>
      <c r="C156" s="16" t="s">
        <v>147</v>
      </c>
      <c r="D156" s="16" t="s">
        <v>148</v>
      </c>
      <c r="E156" s="17" t="n">
        <v>23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177</v>
      </c>
      <c r="J156" s="17" t="n">
        <v>925.00782608696</v>
      </c>
      <c r="K156" s="6" t="s">
        <f>=Портфель!F56*Портфель!G56/100*Портфель!$Q$13+Портфель!H56*Портфель!$Q$13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0" t="n">
        <v>45971</v>
      </c>
      <c r="B157" s="16" t="s">
        <v>887</v>
      </c>
      <c r="C157" s="16" t="s">
        <v>147</v>
      </c>
      <c r="D157" s="16" t="s">
        <v>148</v>
      </c>
      <c r="E157" s="17" t="n">
        <v>10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107</v>
      </c>
      <c r="J157" s="17" t="n">
        <v>950.365</v>
      </c>
      <c r="K157" s="6" t="s">
        <f>=Портфель!F56*Портфель!G56/100*Портфель!$Q$13+Портфель!H56*Портфель!$Q$13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0" t="n">
        <v>45379</v>
      </c>
      <c r="B158" s="16" t="s">
        <v>887</v>
      </c>
      <c r="C158" s="16" t="s">
        <v>150</v>
      </c>
      <c r="D158" s="16" t="s">
        <v>151</v>
      </c>
      <c r="E158" s="17" t="n">
        <v>10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699</v>
      </c>
      <c r="J158" s="17" t="n">
        <v>772.76</v>
      </c>
      <c r="K158" s="6" t="s">
        <f>=Портфель!F57*Портфель!G57/100*Портфель!$Q$13+Портфель!H57*Портфель!$Q$13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0" t="n">
        <v>45429</v>
      </c>
      <c r="B159" s="16" t="s">
        <v>887</v>
      </c>
      <c r="C159" s="16" t="s">
        <v>150</v>
      </c>
      <c r="D159" s="16" t="s">
        <v>151</v>
      </c>
      <c r="E159" s="17" t="n">
        <v>15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649</v>
      </c>
      <c r="J159" s="17" t="n">
        <v>710.85933333333</v>
      </c>
      <c r="K159" s="6" t="s">
        <f>=Портфель!F57*Портфель!G57/100*Портфель!$Q$13+Портфель!H57*Портфель!$Q$13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0" t="n">
        <v>45551</v>
      </c>
      <c r="B160" s="16" t="s">
        <v>887</v>
      </c>
      <c r="C160" s="16" t="s">
        <v>150</v>
      </c>
      <c r="D160" s="16" t="s">
        <v>151</v>
      </c>
      <c r="E160" s="17" t="n">
        <v>20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527</v>
      </c>
      <c r="J160" s="17" t="n">
        <v>667.47</v>
      </c>
      <c r="K160" s="6" t="s">
        <f>=Портфель!F57*Портфель!G57/100*Портфель!$Q$13+Портфель!H57*Портфель!$Q$13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0" t="n">
        <v>45551</v>
      </c>
      <c r="B161" s="16" t="s">
        <v>887</v>
      </c>
      <c r="C161" s="16" t="s">
        <v>153</v>
      </c>
      <c r="D161" s="16" t="s">
        <v>154</v>
      </c>
      <c r="E161" s="17" t="n">
        <v>20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527</v>
      </c>
      <c r="J161" s="17" t="n">
        <v>853.575</v>
      </c>
      <c r="K161" s="6" t="s">
        <f>=Портфель!F58*Портфель!G58/100*Портфель!$Q$13+Портфель!H58*Портфель!$Q$13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0" t="n">
        <v>45573</v>
      </c>
      <c r="B162" s="16" t="s">
        <v>887</v>
      </c>
      <c r="C162" s="16" t="s">
        <v>153</v>
      </c>
      <c r="D162" s="16" t="s">
        <v>154</v>
      </c>
      <c r="E162" s="17" t="n">
        <v>14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505</v>
      </c>
      <c r="J162" s="17" t="n">
        <v>782.78785714286</v>
      </c>
      <c r="K162" s="6" t="s">
        <f>=Портфель!F58*Портфель!G58/100*Портфель!$Q$13+Портфель!H58*Портфель!$Q$13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0" t="n">
        <v>45307</v>
      </c>
      <c r="B163" s="16" t="s">
        <v>887</v>
      </c>
      <c r="C163" s="16" t="s">
        <v>156</v>
      </c>
      <c r="D163" s="16" t="s">
        <v>157</v>
      </c>
      <c r="E163" s="17" t="n">
        <v>5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771</v>
      </c>
      <c r="J163" s="17" t="n">
        <v>834.868</v>
      </c>
      <c r="K163" s="6" t="s">
        <f>=Портфель!F59*Портфель!G59/100*Портфель!$Q$13+Портфель!H59*Портфель!$Q$13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0" t="n">
        <v>45327</v>
      </c>
      <c r="B164" s="16" t="s">
        <v>887</v>
      </c>
      <c r="C164" s="16" t="s">
        <v>156</v>
      </c>
      <c r="D164" s="16" t="s">
        <v>157</v>
      </c>
      <c r="E164" s="17" t="n">
        <v>5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751</v>
      </c>
      <c r="J164" s="17" t="n">
        <v>839.132</v>
      </c>
      <c r="K164" s="6" t="s">
        <f>=Портфель!F59*Портфель!G59/100*Портфель!$Q$13+Портфель!H59*Портфель!$Q$13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0" t="n">
        <v>45341</v>
      </c>
      <c r="B165" s="16" t="s">
        <v>887</v>
      </c>
      <c r="C165" s="16" t="s">
        <v>156</v>
      </c>
      <c r="D165" s="16" t="s">
        <v>157</v>
      </c>
      <c r="E165" s="17" t="n">
        <v>5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737</v>
      </c>
      <c r="J165" s="17" t="n">
        <v>835.502</v>
      </c>
      <c r="K165" s="6" t="s">
        <f>=Портфель!F59*Портфель!G59/100*Портфель!$Q$13+Портфель!H59*Портфель!$Q$13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0" t="n">
        <v>45429</v>
      </c>
      <c r="B166" s="16" t="s">
        <v>887</v>
      </c>
      <c r="C166" s="16" t="s">
        <v>156</v>
      </c>
      <c r="D166" s="16" t="s">
        <v>157</v>
      </c>
      <c r="E166" s="17" t="n">
        <v>16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649</v>
      </c>
      <c r="J166" s="17" t="n">
        <v>770.094375</v>
      </c>
      <c r="K166" s="6" t="s">
        <f>=Портфель!F59*Портфель!G59/100*Портфель!$Q$13+Портфель!H59*Портфель!$Q$13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0" t="n">
        <v>45496</v>
      </c>
      <c r="B167" s="16" t="s">
        <v>887</v>
      </c>
      <c r="C167" s="16" t="s">
        <v>156</v>
      </c>
      <c r="D167" s="16" t="s">
        <v>157</v>
      </c>
      <c r="E167" s="17" t="n">
        <v>3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582</v>
      </c>
      <c r="J167" s="17" t="n">
        <v>733.54666666667</v>
      </c>
      <c r="K167" s="6" t="s">
        <f>=Портфель!F59*Портфель!G59/100*Портфель!$Q$13+Портфель!H59*Портфель!$Q$13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0" t="n">
        <v>45551</v>
      </c>
      <c r="B168" s="16" t="s">
        <v>887</v>
      </c>
      <c r="C168" s="16" t="s">
        <v>159</v>
      </c>
      <c r="D168" s="16" t="s">
        <v>160</v>
      </c>
      <c r="E168" s="17" t="n">
        <v>20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527</v>
      </c>
      <c r="J168" s="17" t="n">
        <v>742.3075</v>
      </c>
      <c r="K168" s="6" t="s">
        <f>=Портфель!F60*Портфель!G60/100*Портфель!$Q$13+Портфель!H60*Портфель!$Q$13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0" t="n">
        <v>45573</v>
      </c>
      <c r="B169" s="16" t="s">
        <v>887</v>
      </c>
      <c r="C169" s="16" t="s">
        <v>159</v>
      </c>
      <c r="D169" s="16" t="s">
        <v>160</v>
      </c>
      <c r="E169" s="17" t="n">
        <v>14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505</v>
      </c>
      <c r="J169" s="17" t="n">
        <v>716.70642857143</v>
      </c>
      <c r="K169" s="6" t="s">
        <f>=Портфель!F60*Портфель!G60/100*Портфель!$Q$13+Портфель!H60*Портфель!$Q$13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0" t="n">
        <v>45365</v>
      </c>
      <c r="B170" s="16" t="s">
        <v>887</v>
      </c>
      <c r="C170" s="16" t="s">
        <v>162</v>
      </c>
      <c r="D170" s="16" t="s">
        <v>163</v>
      </c>
      <c r="E170" s="17" t="n">
        <v>10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713</v>
      </c>
      <c r="J170" s="17" t="n">
        <v>963.188</v>
      </c>
      <c r="K170" s="6" t="s">
        <f>=Портфель!F61*Портфель!G61/100*Портфель!$Q$13+Портфель!H61*Портфель!$Q$13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0" t="n">
        <v>45496</v>
      </c>
      <c r="B171" s="16" t="s">
        <v>887</v>
      </c>
      <c r="C171" s="16" t="s">
        <v>162</v>
      </c>
      <c r="D171" s="16" t="s">
        <v>163</v>
      </c>
      <c r="E171" s="17" t="n">
        <v>9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582</v>
      </c>
      <c r="J171" s="17" t="n">
        <v>900.98222222222</v>
      </c>
      <c r="K171" s="6" t="s">
        <f>=Портфель!F61*Портфель!G61/100*Портфель!$Q$13+Портфель!H61*Портфель!$Q$13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0" t="n">
        <v>45551</v>
      </c>
      <c r="B172" s="16" t="s">
        <v>887</v>
      </c>
      <c r="C172" s="16" t="s">
        <v>165</v>
      </c>
      <c r="D172" s="16" t="s">
        <v>166</v>
      </c>
      <c r="E172" s="17" t="n">
        <v>20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527</v>
      </c>
      <c r="J172" s="17" t="n">
        <v>849.422</v>
      </c>
      <c r="K172" s="6" t="s">
        <f>=Портфель!F62*Портфель!G62/100*Портфель!$Q$13+Портфель!H62*Портфель!$Q$13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0" t="n">
        <v>45551</v>
      </c>
      <c r="B173" s="16" t="s">
        <v>887</v>
      </c>
      <c r="C173" s="16" t="s">
        <v>168</v>
      </c>
      <c r="D173" s="16" t="s">
        <v>169</v>
      </c>
      <c r="E173" s="17" t="n">
        <v>20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527</v>
      </c>
      <c r="J173" s="17" t="n">
        <v>852.424</v>
      </c>
      <c r="K173" s="6" t="s">
        <f>=Портфель!F63*Портфель!G63/100*Портфель!$Q$13+Портфель!H63*Портфель!$Q$13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0" t="n">
        <v>45391</v>
      </c>
      <c r="B174" s="16" t="s">
        <v>887</v>
      </c>
      <c r="C174" s="16" t="s">
        <v>171</v>
      </c>
      <c r="D174" s="16" t="s">
        <v>172</v>
      </c>
      <c r="E174" s="17" t="n">
        <v>7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687</v>
      </c>
      <c r="J174" s="17" t="n">
        <v>768.44857142857</v>
      </c>
      <c r="K174" s="6" t="s">
        <f>=Портфель!F64*Портфель!G64/100*Портфель!$Q$13+Портфель!H64*Портфель!$Q$13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0" t="n">
        <v>45496</v>
      </c>
      <c r="B175" s="16" t="s">
        <v>887</v>
      </c>
      <c r="C175" s="16" t="s">
        <v>171</v>
      </c>
      <c r="D175" s="16" t="s">
        <v>172</v>
      </c>
      <c r="E175" s="17" t="n">
        <v>10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582</v>
      </c>
      <c r="J175" s="17" t="n">
        <v>706.848</v>
      </c>
      <c r="K175" s="6" t="s">
        <f>=Портфель!F64*Портфель!G64/100*Портфель!$Q$13+Портфель!H64*Портфель!$Q$13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0" t="n">
        <v>45509</v>
      </c>
      <c r="B176" s="16" t="s">
        <v>887</v>
      </c>
      <c r="C176" s="16" t="s">
        <v>171</v>
      </c>
      <c r="D176" s="16" t="s">
        <v>172</v>
      </c>
      <c r="E176" s="17" t="n">
        <v>3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569</v>
      </c>
      <c r="J176" s="17" t="n">
        <v>699.36</v>
      </c>
      <c r="K176" s="6" t="s">
        <f>=Портфель!F64*Портфель!G64/100*Портфель!$Q$13+Портфель!H64*Портфель!$Q$13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0" t="n">
        <v>45327</v>
      </c>
      <c r="B177" s="16" t="s">
        <v>887</v>
      </c>
      <c r="C177" s="16" t="s">
        <v>174</v>
      </c>
      <c r="D177" s="16" t="s">
        <v>175</v>
      </c>
      <c r="E177" s="17" t="n">
        <v>10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751</v>
      </c>
      <c r="J177" s="17" t="n">
        <v>944.104</v>
      </c>
      <c r="K177" s="6" t="s">
        <f>=Портфель!F65*Портфель!G65/100*Портфель!$Q$13+Портфель!H65*Портфель!$Q$13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0" t="n">
        <v>45341</v>
      </c>
      <c r="B178" s="16" t="s">
        <v>887</v>
      </c>
      <c r="C178" s="16" t="s">
        <v>174</v>
      </c>
      <c r="D178" s="16" t="s">
        <v>175</v>
      </c>
      <c r="E178" s="17" t="n">
        <v>5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737</v>
      </c>
      <c r="J178" s="17" t="n">
        <v>942.68</v>
      </c>
      <c r="K178" s="6" t="s">
        <f>=Портфель!F65*Портфель!G65/100*Портфель!$Q$13+Портфель!H65*Портфель!$Q$13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0" t="n">
        <v>45273</v>
      </c>
      <c r="B179" s="16" t="s">
        <v>887</v>
      </c>
      <c r="C179" s="16" t="s">
        <v>177</v>
      </c>
      <c r="D179" s="16" t="s">
        <v>178</v>
      </c>
      <c r="E179" s="17" t="n">
        <v>1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805</v>
      </c>
      <c r="J179" s="17" t="n">
        <v>957.93</v>
      </c>
      <c r="K179" s="6" t="s">
        <f>=Портфель!F66*Портфель!G66/100*Портфель!$Q$13+Портфель!H66*Портфель!$Q$13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0" t="n">
        <v>45496</v>
      </c>
      <c r="B180" s="16" t="s">
        <v>887</v>
      </c>
      <c r="C180" s="16" t="s">
        <v>177</v>
      </c>
      <c r="D180" s="16" t="s">
        <v>178</v>
      </c>
      <c r="E180" s="17" t="n">
        <v>3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582</v>
      </c>
      <c r="J180" s="17" t="n">
        <v>904.23333333333</v>
      </c>
      <c r="K180" s="6" t="s">
        <f>=Портфель!F66*Портфель!G66/100*Портфель!$Q$13+Портфель!H66*Портфель!$Q$13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0" t="n">
        <v>45509</v>
      </c>
      <c r="B181" s="16" t="s">
        <v>887</v>
      </c>
      <c r="C181" s="16" t="s">
        <v>177</v>
      </c>
      <c r="D181" s="16" t="s">
        <v>178</v>
      </c>
      <c r="E181" s="17" t="n">
        <v>3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569</v>
      </c>
      <c r="J181" s="17" t="n">
        <v>917.42666666667</v>
      </c>
      <c r="K181" s="6" t="s">
        <f>=Портфель!F66*Портфель!G66/100*Портфель!$Q$13+Портфель!H66*Портфель!$Q$13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0" t="n">
        <v>45971</v>
      </c>
      <c r="B182" s="16" t="s">
        <v>887</v>
      </c>
      <c r="C182" s="16" t="s">
        <v>177</v>
      </c>
      <c r="D182" s="16" t="s">
        <v>178</v>
      </c>
      <c r="E182" s="17" t="n">
        <v>10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107</v>
      </c>
      <c r="J182" s="17" t="n">
        <v>896.164</v>
      </c>
      <c r="K182" s="6" t="s">
        <f>=Портфель!F66*Портфель!G66/100*Портфель!$Q$13+Портфель!H66*Портфель!$Q$13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0" t="n">
        <v>45391</v>
      </c>
      <c r="B183" s="16" t="s">
        <v>887</v>
      </c>
      <c r="C183" s="16" t="s">
        <v>180</v>
      </c>
      <c r="D183" s="16" t="s">
        <v>181</v>
      </c>
      <c r="E183" s="17" t="n">
        <v>7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687</v>
      </c>
      <c r="J183" s="17" t="n">
        <v>749.29142857143</v>
      </c>
      <c r="K183" s="6" t="s">
        <f>=Портфель!F67*Портфель!G67/100*Портфель!$Q$13+Портфель!H67*Портфель!$Q$13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0" t="n">
        <v>45509</v>
      </c>
      <c r="B184" s="16" t="s">
        <v>887</v>
      </c>
      <c r="C184" s="16" t="s">
        <v>180</v>
      </c>
      <c r="D184" s="16" t="s">
        <v>181</v>
      </c>
      <c r="E184" s="17" t="n">
        <v>5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569</v>
      </c>
      <c r="J184" s="17" t="n">
        <v>679.658</v>
      </c>
      <c r="K184" s="6" t="s">
        <f>=Портфель!F67*Портфель!G67/100*Портфель!$Q$13+Портфель!H67*Портфель!$Q$13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0" t="n">
        <v>46001</v>
      </c>
      <c r="B185" s="16" t="s">
        <v>887</v>
      </c>
      <c r="C185" s="16" t="s">
        <v>183</v>
      </c>
      <c r="D185" s="16" t="s">
        <v>184</v>
      </c>
      <c r="E185" s="17" t="n">
        <v>9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77</v>
      </c>
      <c r="J185" s="17" t="n">
        <v>947.94888888889</v>
      </c>
      <c r="K185" s="6" t="s">
        <f>=Портфель!F68*Портфель!G68/100*Портфель!$Q$13+Портфель!H68*Портфель!$Q$13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0" t="n">
        <v>45509</v>
      </c>
      <c r="B186" s="16" t="s">
        <v>887</v>
      </c>
      <c r="C186" s="16" t="s">
        <v>186</v>
      </c>
      <c r="D186" s="16" t="s">
        <v>187</v>
      </c>
      <c r="E186" s="17" t="n">
        <v>10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569</v>
      </c>
      <c r="J186" s="17" t="n">
        <v>735.681</v>
      </c>
      <c r="K186" s="6" t="s">
        <f>=Портфель!F69*Портфель!G69/100*Портфель!$Q$13+Портфель!H69*Портфель!$Q$13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0" t="n">
        <v>46015</v>
      </c>
      <c r="B187" s="16" t="s">
        <v>887</v>
      </c>
      <c r="C187" s="16" t="s">
        <v>189</v>
      </c>
      <c r="D187" s="16" t="s">
        <v>190</v>
      </c>
      <c r="E187" s="17" t="n">
        <v>5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63</v>
      </c>
      <c r="J187" s="17" t="n">
        <v>1076.188</v>
      </c>
      <c r="K187" s="6" t="s">
        <f>=Портфель!F70*Портфель!G70/100*Портфель!$Q$13+Портфель!H70*Портфель!$Q$13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0" t="n">
        <v>45307</v>
      </c>
      <c r="B188" s="16" t="s">
        <v>887</v>
      </c>
      <c r="C188" s="16" t="s">
        <v>192</v>
      </c>
      <c r="D188" s="16" t="s">
        <v>193</v>
      </c>
      <c r="E188" s="17" t="n">
        <v>2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771</v>
      </c>
      <c r="J188" s="17" t="n">
        <v>1001.13</v>
      </c>
      <c r="K188" s="6" t="s">
        <f>=Портфель!F71*Портфель!G71/100*Портфель!$Q$13+Портфель!H71*Портфель!$Q$13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0" t="n">
        <v>45341</v>
      </c>
      <c r="B189" s="16" t="s">
        <v>887</v>
      </c>
      <c r="C189" s="16" t="s">
        <v>192</v>
      </c>
      <c r="D189" s="16" t="s">
        <v>193</v>
      </c>
      <c r="E189" s="17" t="n">
        <v>2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737</v>
      </c>
      <c r="J189" s="17" t="n">
        <v>1006.85</v>
      </c>
      <c r="K189" s="6" t="s">
        <f>=Портфель!F71*Портфель!G71/100*Портфель!$Q$13+Портфель!H71*Портфель!$Q$13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0" t="n">
        <v>45496</v>
      </c>
      <c r="B190" s="16" t="s">
        <v>887</v>
      </c>
      <c r="C190" s="16" t="s">
        <v>192</v>
      </c>
      <c r="D190" s="16" t="s">
        <v>193</v>
      </c>
      <c r="E190" s="17" t="n">
        <v>1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582</v>
      </c>
      <c r="J190" s="17" t="n">
        <v>933.87</v>
      </c>
      <c r="K190" s="6" t="s">
        <f>=Портфель!F71*Портфель!G71/100*Портфель!$Q$13+Портфель!H71*Портфель!$Q$13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0" t="n">
        <v>45604</v>
      </c>
      <c r="B191" s="16" t="s">
        <v>887</v>
      </c>
      <c r="C191" s="16" t="s">
        <v>195</v>
      </c>
      <c r="D191" s="16" t="s">
        <v>196</v>
      </c>
      <c r="E191" s="17" t="n">
        <v>5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474</v>
      </c>
      <c r="J191" s="17" t="n">
        <v>926.354</v>
      </c>
      <c r="K191" s="6" t="s">
        <f>=Портфель!F72*Портфель!G72/100*Портфель!$Q$13+Портфель!H72*Портфель!$Q$13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0" t="n">
        <v>45307</v>
      </c>
      <c r="B192" s="16" t="s">
        <v>887</v>
      </c>
      <c r="C192" s="16" t="s">
        <v>198</v>
      </c>
      <c r="D192" s="16" t="s">
        <v>199</v>
      </c>
      <c r="E192" s="17" t="n">
        <v>5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771</v>
      </c>
      <c r="J192" s="17" t="n">
        <v>930.844</v>
      </c>
      <c r="K192" s="6" t="s">
        <f>=Портфель!F73*Портфель!G73/100*Портфель!$Q$13+Портфель!H73*Портфель!$Q$13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0" t="n">
        <v>46015</v>
      </c>
      <c r="B193" s="16" t="s">
        <v>887</v>
      </c>
      <c r="C193" s="16" t="s">
        <v>201</v>
      </c>
      <c r="D193" s="16" t="s">
        <v>202</v>
      </c>
      <c r="E193" s="17" t="n">
        <v>5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63</v>
      </c>
      <c r="J193" s="17" t="n">
        <v>1013.674</v>
      </c>
      <c r="K193" s="6" t="s">
        <f>=Портфель!F74*Портфель!G74/100*Портфель!$Q$13+Портфель!H74*Портфель!$Q$13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0" t="n">
        <v>45495</v>
      </c>
      <c r="B194" s="16" t="s">
        <v>887</v>
      </c>
      <c r="C194" s="16" t="s">
        <v>204</v>
      </c>
      <c r="D194" s="16" t="s">
        <v>205</v>
      </c>
      <c r="E194" s="17" t="n">
        <v>5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583</v>
      </c>
      <c r="J194" s="17" t="n">
        <v>841.182</v>
      </c>
      <c r="K194" s="6" t="s">
        <f>=Портфель!F75*Портфель!G75/100*Портфель!$Q$13+Портфель!H75*Портфель!$Q$13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0" t="n">
        <v>45321</v>
      </c>
      <c r="B195" s="16" t="s">
        <v>887</v>
      </c>
      <c r="C195" s="16" t="s">
        <v>207</v>
      </c>
      <c r="D195" s="16" t="s">
        <v>208</v>
      </c>
      <c r="E195" s="17" t="n">
        <v>3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757</v>
      </c>
      <c r="J195" s="17" t="n">
        <v>903.45666666667</v>
      </c>
      <c r="K195" s="6" t="s">
        <f>=Портфель!F76*Портфель!G76/100*Портфель!$Q$13+Портфель!H76*Портфель!$Q$13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0" t="n">
        <v>45341</v>
      </c>
      <c r="B196" s="16" t="s">
        <v>887</v>
      </c>
      <c r="C196" s="16" t="s">
        <v>207</v>
      </c>
      <c r="D196" s="16" t="s">
        <v>208</v>
      </c>
      <c r="E196" s="17" t="n">
        <v>2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737</v>
      </c>
      <c r="J196" s="17" t="n">
        <v>907.32</v>
      </c>
      <c r="K196" s="6" t="s">
        <f>=Портфель!F76*Портфель!G76/100*Портфель!$Q$13+Портфель!H76*Портфель!$Q$13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0" t="n">
        <v>45307</v>
      </c>
      <c r="B197" s="16" t="s">
        <v>887</v>
      </c>
      <c r="C197" s="16" t="s">
        <v>210</v>
      </c>
      <c r="D197" s="16" t="s">
        <v>211</v>
      </c>
      <c r="E197" s="17" t="n">
        <v>2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771</v>
      </c>
      <c r="J197" s="17" t="n">
        <v>955.195</v>
      </c>
      <c r="K197" s="6" t="s">
        <f>=Портфель!F77*Портфель!G77/100*Портфель!$Q$13+Портфель!H77*Портфель!$Q$13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0" t="n">
        <v>45321</v>
      </c>
      <c r="B198" s="16" t="s">
        <v>887</v>
      </c>
      <c r="C198" s="16" t="s">
        <v>210</v>
      </c>
      <c r="D198" s="16" t="s">
        <v>211</v>
      </c>
      <c r="E198" s="17" t="n">
        <v>2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757</v>
      </c>
      <c r="J198" s="17" t="n">
        <v>958.685</v>
      </c>
      <c r="K198" s="6" t="s">
        <f>=Портфель!F77*Портфель!G77/100*Портфель!$Q$13+Портфель!H77*Портфель!$Q$13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0" t="n">
        <v>45308</v>
      </c>
      <c r="B199" s="16" t="s">
        <v>887</v>
      </c>
      <c r="C199" s="16" t="s">
        <v>213</v>
      </c>
      <c r="D199" s="16" t="s">
        <v>214</v>
      </c>
      <c r="E199" s="17" t="n">
        <v>5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770</v>
      </c>
      <c r="J199" s="17" t="n">
        <v>1018.956</v>
      </c>
      <c r="K199" s="6" t="s">
        <f>=Портфель!F78*Портфель!G78/100*Портфель!$Q$13+Портфель!H78*Портфель!$Q$13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0" t="n">
        <v>45366</v>
      </c>
      <c r="B200" s="16" t="s">
        <v>887</v>
      </c>
      <c r="C200" s="16" t="s">
        <v>213</v>
      </c>
      <c r="D200" s="16" t="s">
        <v>214</v>
      </c>
      <c r="E200" s="17" t="n">
        <v>5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712</v>
      </c>
      <c r="J200" s="17" t="n">
        <v>1013.712</v>
      </c>
      <c r="K200" s="6" t="s">
        <f>=Портфель!F78*Портфель!G78/100*Портфель!$Q$13+Портфель!H78*Портфель!$Q$13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0" t="n">
        <v>45321</v>
      </c>
      <c r="B201" s="16" t="s">
        <v>887</v>
      </c>
      <c r="C201" s="16" t="s">
        <v>216</v>
      </c>
      <c r="D201" s="16" t="s">
        <v>217</v>
      </c>
      <c r="E201" s="17" t="n">
        <v>3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757</v>
      </c>
      <c r="J201" s="17" t="n">
        <v>934.56666666667</v>
      </c>
      <c r="K201" s="6" t="s">
        <f>=Портфель!F79*Портфель!G79/100*Портфель!$Q$13+Портфель!H79*Портфель!$Q$13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0" t="n">
        <v>45273</v>
      </c>
      <c r="B202" s="16" t="s">
        <v>887</v>
      </c>
      <c r="C202" s="16" t="s">
        <v>219</v>
      </c>
      <c r="D202" s="16" t="s">
        <v>220</v>
      </c>
      <c r="E202" s="17" t="n">
        <v>5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805</v>
      </c>
      <c r="J202" s="17" t="n">
        <v>974.57</v>
      </c>
      <c r="K202" s="6" t="s">
        <f>=Портфель!F80*Портфель!G80/100*Портфель!$Q$13+Портфель!H80*Портфель!$Q$13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0" t="n">
        <v>45307</v>
      </c>
      <c r="B203" s="16" t="s">
        <v>887</v>
      </c>
      <c r="C203" s="16" t="s">
        <v>222</v>
      </c>
      <c r="D203" s="16" t="s">
        <v>223</v>
      </c>
      <c r="E203" s="17" t="n">
        <v>2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771</v>
      </c>
      <c r="J203" s="17" t="n">
        <v>1047.21</v>
      </c>
      <c r="K203" s="6" t="s">
        <f>=Портфель!F81*Портфель!G81/100*Портфель!$Q$13+Портфель!H81*Портфель!$Q$13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0" t="n">
        <v>45273</v>
      </c>
      <c r="B204" s="16" t="s">
        <v>887</v>
      </c>
      <c r="C204" s="16" t="s">
        <v>225</v>
      </c>
      <c r="D204" s="16" t="s">
        <v>226</v>
      </c>
      <c r="E204" s="17" t="n">
        <v>2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805</v>
      </c>
      <c r="J204" s="17" t="n">
        <v>992.89</v>
      </c>
      <c r="K204" s="6" t="s">
        <f>=Портфель!F82*Портфель!G82/100*Портфель!$Q$13+Портфель!H82*Портфель!$Q$13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0" t="n">
        <v>45324</v>
      </c>
      <c r="B205" s="16" t="s">
        <v>887</v>
      </c>
      <c r="C205" s="16" t="s">
        <v>228</v>
      </c>
      <c r="D205" s="16" t="s">
        <v>229</v>
      </c>
      <c r="E205" s="17" t="n">
        <v>7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754</v>
      </c>
      <c r="J205" s="17" t="n">
        <v>892.36857142857</v>
      </c>
      <c r="K205" s="6" t="s">
        <f>=Портфель!F83*Портфель!G83/100*Портфель!$Q$13+Портфель!H83*Портфель!$Q$13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0" t="n">
        <v>44960</v>
      </c>
      <c r="B206" s="16" t="s">
        <v>887</v>
      </c>
      <c r="C206" s="16" t="s">
        <v>231</v>
      </c>
      <c r="D206" s="16" t="s">
        <v>232</v>
      </c>
      <c r="E206" s="17" t="n">
        <v>1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1118</v>
      </c>
      <c r="J206" s="17" t="n">
        <v>937.71</v>
      </c>
      <c r="K206" s="6" t="s">
        <f>=Портфель!F84*Портфель!G84/100*Портфель!$Q$13+Портфель!H84*Портфель!$Q$13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0" t="n">
        <v>45348</v>
      </c>
      <c r="B207" s="16" t="s">
        <v>887</v>
      </c>
      <c r="C207" s="16" t="s">
        <v>234</v>
      </c>
      <c r="D207" s="16" t="s">
        <v>235</v>
      </c>
      <c r="E207" s="17" t="n">
        <v>1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730</v>
      </c>
      <c r="J207" s="17" t="n">
        <v>724.33</v>
      </c>
      <c r="K207" s="6" t="s">
        <f>=Портфель!F85*Портфель!G85/100*Портфель!$Q$13+Портфель!H85*Портфель!$Q$13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0" t="n">
        <v>45488</v>
      </c>
      <c r="B208" s="16" t="s">
        <v>887</v>
      </c>
      <c r="C208" s="16" t="s">
        <v>237</v>
      </c>
      <c r="D208" s="16" t="s">
        <v>238</v>
      </c>
      <c r="E208" s="17" t="n">
        <v>10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590</v>
      </c>
      <c r="J208" s="17" t="n">
        <v>604.04</v>
      </c>
      <c r="K208" s="6" t="s">
        <f>=Портфель!F86*Портфель!G86/100*Портфель!$Q$13+Портфель!H86*Портфель!$Q$13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0"/>
      <c r="B209" s="16"/>
      <c r="C209" s="16"/>
      <c r="D209" s="16"/>
      <c r="E209" s="17"/>
      <c r="F209" s="7"/>
      <c r="G209" s="17"/>
      <c r="H209" s="16"/>
      <c r="I209" s="7"/>
      <c r="J209" s="17"/>
      <c r="K209" s="4" t="s">
        <v>246</v>
      </c>
      <c r="L209" s="8" t="s">
        <f>=SUBTOTAL(109,L2:L208)</f>
      </c>
      <c r="M209" s="8" t="s">
        <f>=SUBTOTAL(109,M2:M208)</f>
      </c>
      <c r="N209" s="8" t="s">
        <f>=MAX(0,M209*0.13)</f>
      </c>
    </row>
  </sheetData>
  <autoFilter ref="A1:O20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2026-02-25T07:37:06.00Z</dcterms:created>
  <dc:creator>izi-invest.ru</dc:creator>
  <cp:revision>0</cp:revision>
</cp:coreProperties>
</file>