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<sst xmlns="http://schemas.openxmlformats.org/spreadsheetml/2006/main" count="11841" uniqueCount="1190">
  <si>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</si>
  <si>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</si>
  <si>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</si>
  <si>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</si>
  <si>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</si>
  <si>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</si>
  <si>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</si>
  <si>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</si>
  <si>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</si>
  <si>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</si>
  <si>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</si>
  <si>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</si>
  <si>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</si>
  <si>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</si>
  <si>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</si>
  <si>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</si>
  <si>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</si>
  <si>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</si>
  <si>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</si>
  <si>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</si>
  <si>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</si>
  <si>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</si>
  <si>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T</t>
  </si>
  <si>
    <t>Т-Техно ао</t>
  </si>
  <si>
    <t>BYN</t>
  </si>
  <si>
    <t>PLZL</t>
  </si>
  <si>
    <t>Полюс</t>
  </si>
  <si>
    <t>CAD</t>
  </si>
  <si>
    <t>SBERP</t>
  </si>
  <si>
    <t>Сбербанк-п</t>
  </si>
  <si>
    <t>CHF</t>
  </si>
  <si>
    <t>GAZP</t>
  </si>
  <si>
    <t>ГАЗПРОМ ао</t>
  </si>
  <si>
    <t>CNY</t>
  </si>
  <si>
    <t>TATN</t>
  </si>
  <si>
    <t>Татнфт 3ао</t>
  </si>
  <si>
    <t>EUR</t>
  </si>
  <si>
    <t>PIKK</t>
  </si>
  <si>
    <t>ПИК ао</t>
  </si>
  <si>
    <t>GBP</t>
  </si>
  <si>
    <t>MOEX</t>
  </si>
  <si>
    <t>МосБиржа</t>
  </si>
  <si>
    <t>GLD</t>
  </si>
  <si>
    <t>SNGSP</t>
  </si>
  <si>
    <t>Сургнфгз-п</t>
  </si>
  <si>
    <t>HKD</t>
  </si>
  <si>
    <t>IRAO</t>
  </si>
  <si>
    <t>ИнтерРАОао</t>
  </si>
  <si>
    <t>JPY</t>
  </si>
  <si>
    <t>VTBR</t>
  </si>
  <si>
    <t>ВТБ ао</t>
  </si>
  <si>
    <t>KZT</t>
  </si>
  <si>
    <t>MTSS</t>
  </si>
  <si>
    <t>МТС-ао</t>
  </si>
  <si>
    <t>AFLT</t>
  </si>
  <si>
    <t>Аэрофлот</t>
  </si>
  <si>
    <t>SLV</t>
  </si>
  <si>
    <t>BSPB</t>
  </si>
  <si>
    <t>БСП ао</t>
  </si>
  <si>
    <t>TRY</t>
  </si>
  <si>
    <t>AFKS</t>
  </si>
  <si>
    <t>Система ао</t>
  </si>
  <si>
    <t>UAH</t>
  </si>
  <si>
    <t>RTKM</t>
  </si>
  <si>
    <t>Ростел -ао</t>
  </si>
  <si>
    <t>USD</t>
  </si>
  <si>
    <t>VKCO</t>
  </si>
  <si>
    <t>МКПАО "ВК"</t>
  </si>
  <si>
    <t>CBOM</t>
  </si>
  <si>
    <t>МКБ ао</t>
  </si>
  <si>
    <t>SNGS</t>
  </si>
  <si>
    <t>Сургнфгз</t>
  </si>
  <si>
    <t>MSNG</t>
  </si>
  <si>
    <t>+МосЭнерго</t>
  </si>
  <si>
    <t>GMKN</t>
  </si>
  <si>
    <t>ГМКНорНик</t>
  </si>
  <si>
    <t>FLOT</t>
  </si>
  <si>
    <t>Совкомфлот</t>
  </si>
  <si>
    <t>UPRO</t>
  </si>
  <si>
    <t>Юнипро ао</t>
  </si>
  <si>
    <t>FEES</t>
  </si>
  <si>
    <t>Россети</t>
  </si>
  <si>
    <t>NLMK</t>
  </si>
  <si>
    <t>НЛМК ао</t>
  </si>
  <si>
    <t>NVTK</t>
  </si>
  <si>
    <t>Новатэк ао</t>
  </si>
  <si>
    <t>MAGN</t>
  </si>
  <si>
    <t>ММК</t>
  </si>
  <si>
    <t>HYDR</t>
  </si>
  <si>
    <t>РусГидро</t>
  </si>
  <si>
    <t>RUAL</t>
  </si>
  <si>
    <t>РУСАЛ ао</t>
  </si>
  <si>
    <t>ALRS</t>
  </si>
  <si>
    <t>АЛРОСА ао</t>
  </si>
  <si>
    <t>Сумма по акциям:</t>
  </si>
  <si>
    <t>SU26233RMFS5</t>
  </si>
  <si>
    <t>bond</t>
  </si>
  <si>
    <t>ОФЗ 26233</t>
  </si>
  <si>
    <t>2035-07-18</t>
  </si>
  <si>
    <t>SU29010RMFS4</t>
  </si>
  <si>
    <t>ОФЗ 29010</t>
  </si>
  <si>
    <t>2034-12-06</t>
  </si>
  <si>
    <t>SU26238RMFS4</t>
  </si>
  <si>
    <t>ОФЗ 26238</t>
  </si>
  <si>
    <t>2041-05-15</t>
  </si>
  <si>
    <t>SU29009RMFS6</t>
  </si>
  <si>
    <t>ОФЗ 29009</t>
  </si>
  <si>
    <t>2032-05-05</t>
  </si>
  <si>
    <t>SU26240RMFS0</t>
  </si>
  <si>
    <t>ОФЗ 26240</t>
  </si>
  <si>
    <t>2036-07-30</t>
  </si>
  <si>
    <t>SU26230RMFS1</t>
  </si>
  <si>
    <t>ОФЗ 26230</t>
  </si>
  <si>
    <t>2039-03-16</t>
  </si>
  <si>
    <t>SU26228RMFS5</t>
  </si>
  <si>
    <t>ОФЗ 26228</t>
  </si>
  <si>
    <t>2030-04-10</t>
  </si>
  <si>
    <t>SU26235RMFS0</t>
  </si>
  <si>
    <t>ОФЗ 26235</t>
  </si>
  <si>
    <t>2031-03-12</t>
  </si>
  <si>
    <t>SU26243RMFS4</t>
  </si>
  <si>
    <t>ОФЗ 26243</t>
  </si>
  <si>
    <t>2038-05-19</t>
  </si>
  <si>
    <t>SU26241RMFS8</t>
  </si>
  <si>
    <t>ОФЗ 26241</t>
  </si>
  <si>
    <t>2032-11-17</t>
  </si>
  <si>
    <t>SU26218RMFS6</t>
  </si>
  <si>
    <t>ОФЗ 26218</t>
  </si>
  <si>
    <t>2031-09-17</t>
  </si>
  <si>
    <t>SU26248RMFS3</t>
  </si>
  <si>
    <t>ОФЗ 26248</t>
  </si>
  <si>
    <t>2040-05-16</t>
  </si>
  <si>
    <t>SU26221RMFS0</t>
  </si>
  <si>
    <t>ОФЗ 26221</t>
  </si>
  <si>
    <t>2033-03-23</t>
  </si>
  <si>
    <t>SU26225RMFS1</t>
  </si>
  <si>
    <t>ОФЗ 26225</t>
  </si>
  <si>
    <t>2034-05-10</t>
  </si>
  <si>
    <t>SU26244RMFS2</t>
  </si>
  <si>
    <t>ОФЗ 26244</t>
  </si>
  <si>
    <t>2034-03-15</t>
  </si>
  <si>
    <t>SU29008RMFS8</t>
  </si>
  <si>
    <t>ОФЗ 29008</t>
  </si>
  <si>
    <t>2029-10-03</t>
  </si>
  <si>
    <t>SU26246RMFS7</t>
  </si>
  <si>
    <t>ОФЗ 26246</t>
  </si>
  <si>
    <t>2036-03-12</t>
  </si>
  <si>
    <t>SU26247RMFS5</t>
  </si>
  <si>
    <t>ОФЗ 26247</t>
  </si>
  <si>
    <t>2039-05-11</t>
  </si>
  <si>
    <t>SU52005RMFS4</t>
  </si>
  <si>
    <t>ОФЗ 52005</t>
  </si>
  <si>
    <t>2033-05-11</t>
  </si>
  <si>
    <t>SU52004RMFS7</t>
  </si>
  <si>
    <t>ОФЗ 52004</t>
  </si>
  <si>
    <t>2032-03-17</t>
  </si>
  <si>
    <t>SU26245RMFS9</t>
  </si>
  <si>
    <t>ОФЗ 26245</t>
  </si>
  <si>
    <t>2035-09-26</t>
  </si>
  <si>
    <t>SU26242RMFS6</t>
  </si>
  <si>
    <t>ОФЗ 26242</t>
  </si>
  <si>
    <t>2029-08-29</t>
  </si>
  <si>
    <t>SU26239RMFS2</t>
  </si>
  <si>
    <t>ОФЗ 26239</t>
  </si>
  <si>
    <t>2031-07-23</t>
  </si>
  <si>
    <t>RU000A106P06</t>
  </si>
  <si>
    <t>ВСК 1P-04R</t>
  </si>
  <si>
    <t>2028-07-28</t>
  </si>
  <si>
    <t>RU000A105VC5</t>
  </si>
  <si>
    <t>Полюс Б1P3</t>
  </si>
  <si>
    <t>2028-02-11</t>
  </si>
  <si>
    <t>SU52002RMFS1</t>
  </si>
  <si>
    <t>ОФЗ 52002</t>
  </si>
  <si>
    <t>2028-02-02</t>
  </si>
  <si>
    <t>RU000A106AT1</t>
  </si>
  <si>
    <t>ГазпромКP6</t>
  </si>
  <si>
    <t>2028-05-23</t>
  </si>
  <si>
    <t>SU26234RMFS3</t>
  </si>
  <si>
    <t>ОФЗ 26234</t>
  </si>
  <si>
    <t>2025-07-16</t>
  </si>
  <si>
    <t>RU000A1075S4</t>
  </si>
  <si>
    <t>ИКС5Фин3P2</t>
  </si>
  <si>
    <t>2026-10-17</t>
  </si>
  <si>
    <t>RU000A1068R1</t>
  </si>
  <si>
    <t>РСХБ2Р2</t>
  </si>
  <si>
    <t>2026-05-08</t>
  </si>
  <si>
    <t>RU000A102G50</t>
  </si>
  <si>
    <t>ВСК 1P-01R</t>
  </si>
  <si>
    <t>2025-12-03</t>
  </si>
  <si>
    <t>RU000A105CM4</t>
  </si>
  <si>
    <t>Новотр 1Р3</t>
  </si>
  <si>
    <t>2027-10-26</t>
  </si>
  <si>
    <t>RU000A103760</t>
  </si>
  <si>
    <t>ХКФБанкБ04</t>
  </si>
  <si>
    <t>2026-06-01</t>
  </si>
  <si>
    <t>RU000A0ZYVU5</t>
  </si>
  <si>
    <t>Роснфт2P5</t>
  </si>
  <si>
    <t>2028-02-18</t>
  </si>
  <si>
    <t>RU000A1007Z2</t>
  </si>
  <si>
    <t>РЖД 1Р-13R</t>
  </si>
  <si>
    <t>2029-03-19</t>
  </si>
  <si>
    <t>RU000A100N12</t>
  </si>
  <si>
    <t>Систем1P11</t>
  </si>
  <si>
    <t>2029-07-16</t>
  </si>
  <si>
    <t>RU000A1008D7</t>
  </si>
  <si>
    <t>РЖД 1Р-14R</t>
  </si>
  <si>
    <t>2029-05-04</t>
  </si>
  <si>
    <t>RU000A102952</t>
  </si>
  <si>
    <t>ВИС Ф БП01</t>
  </si>
  <si>
    <t>2027-10-12</t>
  </si>
  <si>
    <t>RU000A1017J5</t>
  </si>
  <si>
    <t>Газпнф3P2R</t>
  </si>
  <si>
    <t>2029-12-07</t>
  </si>
  <si>
    <t>RU000A101U61</t>
  </si>
  <si>
    <t>Ульоб35002</t>
  </si>
  <si>
    <t>2027-06-25</t>
  </si>
  <si>
    <t>RU000A10B933</t>
  </si>
  <si>
    <t>Селигдар3Р</t>
  </si>
  <si>
    <t>2027-09-25</t>
  </si>
  <si>
    <t>RU000A0JXPN8</t>
  </si>
  <si>
    <t>Ростел1P2R</t>
  </si>
  <si>
    <t>2027-04-14</t>
  </si>
  <si>
    <t>RU000A10BFX7</t>
  </si>
  <si>
    <t>СамолетP16</t>
  </si>
  <si>
    <t>2028-04-06</t>
  </si>
  <si>
    <t>SU29007RMFS0</t>
  </si>
  <si>
    <t>ОФЗ 29007</t>
  </si>
  <si>
    <t>2027-03-03</t>
  </si>
  <si>
    <t>RU000A109PF2</t>
  </si>
  <si>
    <t>РЖД 1Р-33R</t>
  </si>
  <si>
    <t>2028-10-29</t>
  </si>
  <si>
    <t>RU000A10ATW2</t>
  </si>
  <si>
    <t>БалтЛизП15</t>
  </si>
  <si>
    <t>2028-02-13</t>
  </si>
  <si>
    <t>RU000A106K43</t>
  </si>
  <si>
    <t>РЖД 1Р-26R</t>
  </si>
  <si>
    <t>2028-07-19</t>
  </si>
  <si>
    <t>RU000A1042W6</t>
  </si>
  <si>
    <t>ВЭБP-31</t>
  </si>
  <si>
    <t>2028-10-18</t>
  </si>
  <si>
    <t>RU000A107W06</t>
  </si>
  <si>
    <t>Новотр 1Р5</t>
  </si>
  <si>
    <t>2027-03-04</t>
  </si>
  <si>
    <t>RU000A106ZL5</t>
  </si>
  <si>
    <t>РЖД 1Р-28R</t>
  </si>
  <si>
    <t>2030-09-20</t>
  </si>
  <si>
    <t>SU29024RMFS5</t>
  </si>
  <si>
    <t>ОФЗ 29024</t>
  </si>
  <si>
    <t>2035-04-18</t>
  </si>
  <si>
    <t>RU000A105V90</t>
  </si>
  <si>
    <t>ЕАБР3P-006</t>
  </si>
  <si>
    <t>2026-02-13</t>
  </si>
  <si>
    <t>RU000A104XR2</t>
  </si>
  <si>
    <t>Автодор3Р2</t>
  </si>
  <si>
    <t>2027-07-01</t>
  </si>
  <si>
    <t>RU000A105KR6</t>
  </si>
  <si>
    <t>ВСК 1P-03R</t>
  </si>
  <si>
    <t>2027-11-30</t>
  </si>
  <si>
    <t>RU000A104Z48</t>
  </si>
  <si>
    <t>ВЭБ2P-33</t>
  </si>
  <si>
    <t>2027-07-15</t>
  </si>
  <si>
    <t>RU000A104V75</t>
  </si>
  <si>
    <t>ПочтаР2P01</t>
  </si>
  <si>
    <t>2032-05-26</t>
  </si>
  <si>
    <t>RU000A105KB0</t>
  </si>
  <si>
    <t>ГТЛК 2P-02</t>
  </si>
  <si>
    <t>2037-11-17</t>
  </si>
  <si>
    <t>RU000A104SX0</t>
  </si>
  <si>
    <t>РЖД 1Р-24R</t>
  </si>
  <si>
    <t>2027-04-30</t>
  </si>
  <si>
    <t>RU000A103G00</t>
  </si>
  <si>
    <t>СТМ 1P2</t>
  </si>
  <si>
    <t>2026-07-22</t>
  </si>
  <si>
    <t>RU000A100KY3</t>
  </si>
  <si>
    <t>Роснфт2P8</t>
  </si>
  <si>
    <t>2029-07-02</t>
  </si>
  <si>
    <t>RU000A104693</t>
  </si>
  <si>
    <t>Систем1P23</t>
  </si>
  <si>
    <t>2031-11-21</t>
  </si>
  <si>
    <t>RU000A103QK3</t>
  </si>
  <si>
    <t>МэйлБ1Р1</t>
  </si>
  <si>
    <t>2026-09-15</t>
  </si>
  <si>
    <t>RU000A0JXN21</t>
  </si>
  <si>
    <t>СистемБ1P6</t>
  </si>
  <si>
    <t>2027-03-26</t>
  </si>
  <si>
    <t>RU000A1061K1</t>
  </si>
  <si>
    <t>ЕвроТранс3</t>
  </si>
  <si>
    <t>2027-03-14</t>
  </si>
  <si>
    <t>RU000A102H91</t>
  </si>
  <si>
    <t>Автодор3Р1</t>
  </si>
  <si>
    <t>2025-12-09</t>
  </si>
  <si>
    <t>RU000A0ZYR91</t>
  </si>
  <si>
    <t>ГТЛК 1P-08</t>
  </si>
  <si>
    <t>2033-01-18</t>
  </si>
  <si>
    <t>RU000A101XN7</t>
  </si>
  <si>
    <t>Систем1P14</t>
  </si>
  <si>
    <t>2030-07-10</t>
  </si>
  <si>
    <t>RU000A1003A4</t>
  </si>
  <si>
    <t>ГТЛК 1P-13</t>
  </si>
  <si>
    <t>2034-01-20</t>
  </si>
  <si>
    <t>RU000A102FS1</t>
  </si>
  <si>
    <t>Систем1P16</t>
  </si>
  <si>
    <t>2030-11-25</t>
  </si>
  <si>
    <t>RU000A101SC0</t>
  </si>
  <si>
    <t>ГТЛК 1P-18</t>
  </si>
  <si>
    <t>2035-05-23</t>
  </si>
  <si>
    <t>RU000A101SD8</t>
  </si>
  <si>
    <t>ГТЛК 1P-19</t>
  </si>
  <si>
    <t>RU000A1065B1</t>
  </si>
  <si>
    <t>АБЗ-1 1Р04</t>
  </si>
  <si>
    <t>2026-04-21</t>
  </si>
  <si>
    <t>RU000A101GD3</t>
  </si>
  <si>
    <t>ГТЛК 1P-16</t>
  </si>
  <si>
    <t>2028-02-17</t>
  </si>
  <si>
    <t>RU000A102CX8</t>
  </si>
  <si>
    <t>Ульоб34003</t>
  </si>
  <si>
    <t>2025-11-12</t>
  </si>
  <si>
    <t>RU000A103828</t>
  </si>
  <si>
    <t>ЭТС 1Р04</t>
  </si>
  <si>
    <t>2025-06-05</t>
  </si>
  <si>
    <t>RU000A0JVM81</t>
  </si>
  <si>
    <t>Оренб35003</t>
  </si>
  <si>
    <t>2025-07-03</t>
  </si>
  <si>
    <t>Сумма по облигациям:</t>
  </si>
  <si>
    <t>Рубль</t>
  </si>
  <si>
    <t>Золото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</si>
  <si>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</si>
  <si>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</si>
  <si>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</si>
  <si>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</si>
  <si>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</si>
  <si>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</si>
  <si>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</si>
  <si>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</si>
  <si>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</si>
  <si>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</si>
  <si>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</si>
  <si>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Купон по RU000A0JY031 - МФ МарЭл17 1шт. по 16.08 RUR (данные из БД)</t>
  </si>
  <si>
    <t>Выплата купонов по RU000A0JY031 - МФ МарЭл17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</si>
  <si>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</si>
  <si>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</si>
  <si>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Выплата купонов по RU000A0JVM81 - Оренб35003 (данные из сделок)</t>
  </si>
  <si>
    <t>Частичное погашение облигаций по RU000A0JVM81 - Оренб35003 (данные из сделок)</t>
  </si>
  <si>
    <t>Купон по SU24021RMFS6 - ОФЗ 24021 1шт. по 29.03 RUR (данные из БД)</t>
  </si>
  <si>
    <t>Выплата купонов по SU24021RMFS6 - ОФЗ 24021 (данные из сделок)</t>
  </si>
  <si>
    <t>Купон по SU26233RMFS5 - ОФЗ 26233 1шт. по 30.42 RUR (данные из БД)</t>
  </si>
  <si>
    <t>Выплата купонов по SU26233RMFS5 - ОФЗ 26233 (данные из сделок)</t>
  </si>
  <si>
    <t>Купон по SU26235RMFS0 - ОФЗ 26235 1шт. по 29.42 RUR (данные из БД)</t>
  </si>
  <si>
    <t>Выплата купонов по SU26235RMFS0 - ОФЗ 26235 (данные из сделок)</t>
  </si>
  <si>
    <t>Купон по RU000A0JVM81 - Оренб35003 1шт. по 20.94 RUR (данные из БД)</t>
  </si>
  <si>
    <t>Дивиденд по NVTK - Новатэк ао 1шт. по 45 RUR (данные из БД)</t>
  </si>
  <si>
    <t>Дивиденд по TATN - Татнфт 3ао 1шт. по 32.71 RUR (данные из БД)</t>
  </si>
  <si>
    <t>Дивиденд по GAZP - ГАЗПРОМ ао 10шт. по 51.03 RUR (данные из БД)</t>
  </si>
  <si>
    <t>Выплата дивидендов по NVTK - Новатэк ао (данные из сделок)</t>
  </si>
  <si>
    <t>Купон по SU24021RMFS6 - ОФЗ 24021 1шт. по 19.69 RUR (данные из БД)</t>
  </si>
  <si>
    <t>Выплата дивидендов по GAZP - ГАЗПРОМ ао (данные из сделок)</t>
  </si>
  <si>
    <t>Выплата дивидендов по TATN - публичное акционерное общество Татнефть имени В.Д. Шашина (данные из сделок)</t>
  </si>
  <si>
    <t>Купон по RU000A100D89 - Беларусь07 1шт. по 42.38 RUR (данные из БД)</t>
  </si>
  <si>
    <t>Выплата купонов по RU000A100D89 - Беларусь07 (данные из сделок)</t>
  </si>
  <si>
    <t>Купон по SU29009RMFS6 - ОФЗ 29009 1шт. по 68.71 RUR (данные из БД)</t>
  </si>
  <si>
    <t>Выплата купонов по SU29009RMFS6 - ОФЗ 29009 (данные из сделок)</t>
  </si>
  <si>
    <t>Амортизация МФ МарЭл17: 1 шт. по 250 RUR.  (данные из БД)</t>
  </si>
  <si>
    <t>Купон по SU26225RMFS1 - ОФЗ 26225 2шт. по 36.15 RUR (данные из БД)</t>
  </si>
  <si>
    <t>Частичное погашение облигаций по RU000A0JY031 - МФ МарЭл17 (данные из сделок)</t>
  </si>
  <si>
    <t>Выплата купонов по SU26225RMFS1 - ОФЗ 26225 (данные из сделок)</t>
  </si>
  <si>
    <t>Купон по RU000A104693 - Систем1P23 1шт. по 24.81 RUR (данные из БД)</t>
  </si>
  <si>
    <t>Выплата купонов по RU000A104693 - Систем1P23 (данные из сделок)</t>
  </si>
  <si>
    <t>Купон по RU000A101SD8 - ГТЛК 1P-19 1шт. по 19.87 RUR (данные из БД)</t>
  </si>
  <si>
    <t>Выплата купонов по RU000A101SD8 - ГТЛК 1P-19 (данные из сделок)</t>
  </si>
  <si>
    <t>Купон по SU29010RMFS4 - ОФЗ 29010 2шт. по 72.95 RUR (данные из БД)</t>
  </si>
  <si>
    <t>Выплата купонов по SU29010RMFS4 - ОФЗ 29010 (данные из сделок)</t>
  </si>
  <si>
    <t>Дивиденд по TATN - Татнфт 3ао 1шт. по 6.86 RUR (данные из БД)</t>
  </si>
  <si>
    <t>Купон по SU24021RMFS6 - ОФЗ 24021 1шт. по 18.31 RUR (данные из БД)</t>
  </si>
  <si>
    <t>Купон по RU000A0ZYR91 - ГТЛК 1P-08 1шт. по 28.22 RUR (данные из БД)</t>
  </si>
  <si>
    <t>Купон по SU29006RMFS2 - ОФЗ 29006 1шт. по 71.9 RUR (данные из БД)</t>
  </si>
  <si>
    <t>Купон по SU26233RMFS5 - ОФЗ 26233 2шт. по 30.42 RUR (данные из БД)</t>
  </si>
  <si>
    <t>Выплата купонов по RU000A0ZYR91 - ГТЛК 1P-08 (данные из сделок)</t>
  </si>
  <si>
    <t>Выплата купонов по SU29006RMFS2 - ОФЗ 29006 (данные из сделок)</t>
  </si>
  <si>
    <t>Купон по RU000A104XR2 - Автодор3Р2 1шт. по 61.86 RUR (данные из БД)</t>
  </si>
  <si>
    <t>Выплата купонов по RU000A104XR2 - Автодор3Р2 (данные из сделок)</t>
  </si>
  <si>
    <t>Купон по SU26240RMFS0 - ОФЗ 26240 2шт. по 34.9 RUR (данные из БД)</t>
  </si>
  <si>
    <t>Выплата купонов по SU26240RMFS0 - ОФЗ 26240 (данные из сделок)</t>
  </si>
  <si>
    <t>Купон по RU000A0JY031 - МФ МарЭл17 1шт. по 10.72 RUR (данные из БД)</t>
  </si>
  <si>
    <t>Купон по SU29007RMFS0 - ОФЗ 29007 1шт. по 69.51 RUR (данные из БД)</t>
  </si>
  <si>
    <t>Выплата купонов по SU29007RMFS0 - ОФЗ 29007 (данные из сделок)</t>
  </si>
  <si>
    <t>Купон по RU000A103QK3 - МэйлБ1Р1 1шт. по 39.39 RUR (данные из БД)</t>
  </si>
  <si>
    <t>Прочий доход</t>
  </si>
  <si>
    <t>Купон по SU26235RMFS0 - ОФЗ 26235 2шт. по 29.42 RUR (данные из БД)</t>
  </si>
  <si>
    <t>Выплата купонов по RU000A103QK3 - МэйлБ1Р1 (данные из сделок)</t>
  </si>
  <si>
    <t>Купон по SU52004RMFS7 - ОФЗ 52004 1шт. по 14.58 RUR (данные из БД)</t>
  </si>
  <si>
    <t>Выплата купонов по SU52004RMFS7 - ОФЗ 52004 (данные из сделок)</t>
  </si>
  <si>
    <t>Купон по SU26221RMFS0 - ОФЗ 26221 1шт. по 38.39 RUR (данные из БД)</t>
  </si>
  <si>
    <t>Купон по SU26230RMFS1 - ОФЗ 26230 3шт. по 38.39 RUR (данные из БД)</t>
  </si>
  <si>
    <t>Выплата купонов по SU26221RMFS0 - ОФЗ 26221 (данные из сделок)</t>
  </si>
  <si>
    <t>Выплата купонов по SU26230RMFS1 - ОФЗ 26230 (данные из сделок)</t>
  </si>
  <si>
    <t>Купон по SU29008RMFS8 - ОФЗ 29008 2шт. по 58.34 RUR (данные из БД)</t>
  </si>
  <si>
    <t>Выплата купонов по SU29008RMFS8 - ОФЗ 29008 (данные из сделок)</t>
  </si>
  <si>
    <t>Купон по SU24021RMFS6 - ОФЗ 24021 1шт. по 17.98 RUR (данные из БД)</t>
  </si>
  <si>
    <t>Дивиденд по NVTK - Новатэк ао 1шт. по 60.58 RUR (данные из БД)</t>
  </si>
  <si>
    <t>Дивиденд по SBERP - Сбербанк-п 20шт. по 25 RUR (данные из БД)</t>
  </si>
  <si>
    <t>Дивиденд по SBER - Сбербанк 30шт. по 25 RUR (данные из БД)</t>
  </si>
  <si>
    <t>Купон по SU29009RMFS6 - ОФЗ 29009 3шт. по 51.21 RUR (данные из БД)</t>
  </si>
  <si>
    <t>Купон по RU000A1043B8 - ТАЛАНФБ1P3 1шт. по 32.41 RUR (данные из БД)</t>
  </si>
  <si>
    <t>Выплата купонов по RU000A1043B8 - ТАЛАНФБ1P3 (данные из сделок)</t>
  </si>
  <si>
    <t>Купон по SU26225RMFS1 - ОФЗ 26225 3шт. по 36.15 RUR (данные из БД)</t>
  </si>
  <si>
    <t>Купон по RU000A101GD3 - ГТЛК 1P-16 1шт. по 10.83 RUR (данные из БД)</t>
  </si>
  <si>
    <t>Выплата дивидендов по SBERP - Сбербанк-п (данные из сделок)</t>
  </si>
  <si>
    <t>Выплата дивидендов по SBER - Сбербанк (данные из сделок)</t>
  </si>
  <si>
    <t>Выплата купонов по RU000A101GD3 - ГТЛК 1P-16 (данные из сделок)</t>
  </si>
  <si>
    <t>Дивиденд по IRAO - ИнтерРАОао 400шт. по 0.28 RUR (данные из БД)</t>
  </si>
  <si>
    <t>Купон по RU000A102G50 - ВСК 1P-01R 1шт. по 32.66 RUR (данные из БД)</t>
  </si>
  <si>
    <t>Купон по SU26238RMFS4 - ОФЗ 26238 4шт. по 35.4 RUR (данные из БД)</t>
  </si>
  <si>
    <t>Выплата купонов по RU000A102G50 - ВСК 1P-01R (данные из сделок)</t>
  </si>
  <si>
    <t>Выплата купонов по SU26238RMFS4 - ОФЗ 26238 (данные из сделок)</t>
  </si>
  <si>
    <t>Купон по RU000A102H91 - Автодор3Р1 1шт. по 31.3 RUR (данные из БД)</t>
  </si>
  <si>
    <t>Выплата купонов по RU000A102H91 - Автодор3Р1 (данные из сделок)</t>
  </si>
  <si>
    <t>Выплата дивидендов по IRAO - ИнтерРАОао (данные из сделок)</t>
  </si>
  <si>
    <t>Дивиденд по MOEX - МосБиржа 10шт. по 4.84 RUR (данные из БД)</t>
  </si>
  <si>
    <t>Купон по SU29010RMFS4 - ОФЗ 29010 3шт. по 47.52 RUR (данные из БД)</t>
  </si>
  <si>
    <t>Выплата дивидендов по MOEX - МосБиржа (данные из сделок)</t>
  </si>
  <si>
    <t>Дивиденд по HYDR - РусГидро 1000шт. по 0.05 RUR (данные из БД)</t>
  </si>
  <si>
    <t>Дивиденд по TATN - Татнфт 3ао 1шт. по 27.71 RUR (данные из БД)</t>
  </si>
  <si>
    <t>Дивиденд по AFKS - Система ао 100шт. по 0.41 RUR (данные из БД)</t>
  </si>
  <si>
    <t>Дивиденд по SNGS - Сургнфгз 100шт. по 0.8 RUR (данные из БД)</t>
  </si>
  <si>
    <t>Дивиденд по SNGSP - Сургнфгз-п 100шт. по 0.8 RUR (данные из БД)</t>
  </si>
  <si>
    <t>Купон по RU000A103G00 - СТМ 1P2 1шт. по 43.38 RUR (данные из БД)</t>
  </si>
  <si>
    <t>Купон по SU24021RMFS6 - ОФЗ 24021 1шт. по 18.18 RUR (данные из БД)</t>
  </si>
  <si>
    <t>Выплата дивидендов по HYDR - РусГидро (данные из сделок)</t>
  </si>
  <si>
    <t>Выплата купонов по RU000A103G00 - СТМ 1P2 (данные из сделок)</t>
  </si>
  <si>
    <t>Купон по SU29006RMFS2 - ОФЗ 29006 1шт. по 43.53 RUR (данные из БД)</t>
  </si>
  <si>
    <t>Купон по SU26233RMFS5 - ОФЗ 26233 10шт. по 30.42 RUR (данные из БД)</t>
  </si>
  <si>
    <t>Выплата дивидендов по AFKS - Система ао (данные из сделок)</t>
  </si>
  <si>
    <t>Выплата дивидендов по SNGS - Сургнфгз (данные из сделок)</t>
  </si>
  <si>
    <t>Выплата дивидендов по SNGSP - Сургнфгз-п (данные из сделок)</t>
  </si>
  <si>
    <t>Купон по RU000A104XR2 - Автодор3Р2 1шт. по 53.1 RUR (данные из БД)</t>
  </si>
  <si>
    <t>Купон по SU26240RMFS0 - ОФЗ 26240 7шт. по 34.9 RUR (данные из БД)</t>
  </si>
  <si>
    <t>Купон по RU000A105V90 - ЕАБР3P-006 1шт. по 51.61 RUR (данные из БД)</t>
  </si>
  <si>
    <t>Купон по RU000A1068R1 - РСХБ2Р2 2шт. по 7.5 RUR (данные из БД)</t>
  </si>
  <si>
    <t>Купон по RU000A1043B8 - ТАЛАНФБ1P3 2шт. по 32.41 RUR (данные из БД)</t>
  </si>
  <si>
    <t>Выплата купонов по RU000A105V90 - ЕАБР3P-006 (данные из сделок)</t>
  </si>
  <si>
    <t>Выплата купонов по RU000A1068R1 - РСХБ2Р2 (данные из сделок)</t>
  </si>
  <si>
    <t>Купон по SU29007RMFS0 - ОФЗ 29007 1шт. по 43.33 RUR (данные из БД)</t>
  </si>
  <si>
    <t>Купон по SU26235RMFS0 - ОФЗ 26235 7шт. по 29.42 RUR (данные из БД)</t>
  </si>
  <si>
    <t>Купон по RU000A1068R1 - РСХБ2Р2 2шт. по 8.24 RUR (данные из БД)</t>
  </si>
  <si>
    <t>Амортизация ХэндрснБ01: 1 шт. по 75 RUR.  (данные из БД)</t>
  </si>
  <si>
    <t>Купон по RU000A103Q08 - ХэндрснБ01 1шт. по 21.6 RUR (данные из БД)</t>
  </si>
  <si>
    <t>Купон по SU52004RMFS7 - ОФЗ 52004 4шт. по 14.99 RUR (данные из БД)</t>
  </si>
  <si>
    <t>Частичное погашение облигаций по RU000A103Q08 - ХэндрснБ01 (данные из сделок)</t>
  </si>
  <si>
    <t>Выплата купонов по RU000A103Q08 - ХэндрснБ01 (данные из сделок)</t>
  </si>
  <si>
    <t>Купон по SU26230RMFS1 - ОФЗ 26230 5шт. по 38.39 RUR (данные из БД)</t>
  </si>
  <si>
    <t>Купон по RU000A0JVM81 - Оренб35003 1шт. по 13.96 RUR (данные из БД)</t>
  </si>
  <si>
    <t>Дивиденд по NVTK - Новатэк ао 1шт. по 34.5 RUR (данные из БД)</t>
  </si>
  <si>
    <t>Купон по SU29008RMFS8 - ОФЗ 29008 2шт. по 43.33 RUR (данные из БД)</t>
  </si>
  <si>
    <t>Дивиденд по TATN - Татнфт 3ао 1шт. по 27.54 RUR (данные из БД)</t>
  </si>
  <si>
    <t>Купон по SU26228RMFS5 - ОФЗ 26228 2шт. по 38.15 RUR (данные из БД)</t>
  </si>
  <si>
    <t>Выплата купонов по SU26228RMFS5 - ОФЗ 26228 (данные из сделок)</t>
  </si>
  <si>
    <t>Купон по RU000A1068R1 - РСХБ2Р2 2шт. по 11.28 RUR (данные из БД)</t>
  </si>
  <si>
    <t>Купон по SU24021RMFS6 - ОФЗ 24021 1шт. по 27.78 RUR (данные из БД)</t>
  </si>
  <si>
    <t>Купон по RU000A1042W6 - ВЭБP-31 1шт. по 31.64 RUR (данные из БД)</t>
  </si>
  <si>
    <t>Выплата купонов по RU000A1042W6 - ВЭБP-31 (данные из сделок)</t>
  </si>
  <si>
    <t>Купон по SU29024RMFS5 - ОФЗ 29024 1шт. по 28.73 RUR (данные из БД)</t>
  </si>
  <si>
    <t>Выплата купонов по SU29024RMFS5 - ОФЗ 29024 (данные из сделок)</t>
  </si>
  <si>
    <t>Купон по SU29009RMFS6 - ОФЗ 29009 3шт. по 43.43 RUR (данные из БД)</t>
  </si>
  <si>
    <t>Купон по RU000A1068R1 - РСХБ2Р2 2шт. по 11.93 RUR (данные из БД)</t>
  </si>
  <si>
    <t>Купон по SU52005RMFS4 - ОФЗ 52005 5шт. по 17.96 RUR (данные из БД)</t>
  </si>
  <si>
    <t>Купон по SU26225RMFS1 - ОФЗ 26225 6шт. по 36.15 RUR (данные из БД)</t>
  </si>
  <si>
    <t>Выплата купонов по SU52005RMFS4 - ОФЗ 52005 (данные из сделок)</t>
  </si>
  <si>
    <t>Дивиденд по RTKM - Ростел -ао 20шт. по 5.45 RUR (данные из БД)</t>
  </si>
  <si>
    <t>Купон по RU000A105KR6 - ВСК 1P-03R 1шт. по 56.1 RUR (данные из БД)</t>
  </si>
  <si>
    <t>Купон по SU26243RMFS4 - ОФЗ 26243 3шт. по 45.11 RUR (данные из БД)</t>
  </si>
  <si>
    <t>Купон по SU26238RMFS4 - ОФЗ 26238 11шт. по 35.4 RUR (данные из БД)</t>
  </si>
  <si>
    <t>Выплата купонов по RU000A105KR6 - ВСК 1P-03R (данные из сделок)</t>
  </si>
  <si>
    <t>Выплата купонов по SU26243RMFS4 - ОФЗ 26243 (данные из сделок)</t>
  </si>
  <si>
    <t>Амортизация Автодор3Р1: 1 шт. по 35 RUR.  (данные из БД)</t>
  </si>
  <si>
    <t>Частичное погашение облигаций по RU000A102H91 - Автодор3Р1 (данные из сделок)</t>
  </si>
  <si>
    <t>Выплата дивидендов по RTKM - Ростел -ао (данные из сделок)</t>
  </si>
  <si>
    <t>Купон по SU29010RMFS4 - ОФЗ 29010 3шт. по 43.98 RUR (данные из БД)</t>
  </si>
  <si>
    <t>Купон по RU000A1068R1 - РСХБ2Р2 2шт. по 12.96 RUR (данные из БД)</t>
  </si>
  <si>
    <t>Купон по RU000A103Q08 - ХэндрснБ01 1шт. по 19.63 RUR (данные из БД)</t>
  </si>
  <si>
    <t>Купон по RU000A101U61 - Ульоб35002 2шт. по 32.91 RUR (данные из БД)</t>
  </si>
  <si>
    <t>Дивиденд по TATN - Татнфт 3ао 1шт. по 35.17 RUR (данные из БД)</t>
  </si>
  <si>
    <t>Выплата купонов по RU000A101U61 - Ульоб35002 (данные из сделок)</t>
  </si>
  <si>
    <t>Купон по SU26234RMFS3 - ОФЗ 26234 2шт. по 22.44 RUR (данные из БД)</t>
  </si>
  <si>
    <t>Выплата купонов по SU26234RMFS3 - ОФЗ 26234 (данные из сделок)</t>
  </si>
  <si>
    <t>Купон по RU000A1068R1 - РСХБ2Р2 2шт. по 13.99 RUR (данные из БД)</t>
  </si>
  <si>
    <t>Купон по RU000A1065B1 - АБЗ-1 1Р04 1шт. по 34.28 RUR (данные из БД)</t>
  </si>
  <si>
    <t>Купон по RU000A1042W6 - ВЭБP-31 1шт. по 40.7 RUR (данные из БД)</t>
  </si>
  <si>
    <t>Купон по SU24021RMFS6 - ОФЗ 24021 1шт. по 36.81 RUR (данные из БД)</t>
  </si>
  <si>
    <t>Выплата купонов по RU000A1065B1 - АБЗ-1 1Р04 (данные из сделок)</t>
  </si>
  <si>
    <t>Купон по RU000A103G91 - iПМЕДДМ1Р2 1шт. по 47.12 RUR (данные из БД)</t>
  </si>
  <si>
    <t>Выплата купонов по RU000A103G91 - iПМЕДДМ1Р2 (данные из сделок)</t>
  </si>
  <si>
    <t>Купон по SU26233RMFS5 - ОФЗ 26233 20шт. по 30.42 RUR (данные из БД)</t>
  </si>
  <si>
    <t>Купон по SU29006RMFS2 - ОФЗ 29006 1шт. по 42.53 RUR (данные из БД)</t>
  </si>
  <si>
    <t>Купон по SU29024RMFS5 - ОФЗ 29024 1шт. по 37.33 RUR (данные из БД)</t>
  </si>
  <si>
    <t>Купон по SU26240RMFS0 - ОФЗ 26240 12шт. по 34.9 RUR (данные из БД)</t>
  </si>
  <si>
    <t>Купон по RU000A0JY031 - МФ МарЭл17 1шт. по 5.36 RUR (данные из БД)</t>
  </si>
  <si>
    <t>Амортизация ГТЛК 1P-16: 1 шт. по 125 RUR.  (данные из БД)</t>
  </si>
  <si>
    <t>Купон по RU000A1068R1 - РСХБ2Р2 2шт. по 14.3 RUR (данные из БД)</t>
  </si>
  <si>
    <t>Частичное погашение облигаций по RU000A101GD3 - ГТЛК 1P-16 (данные из сделок)</t>
  </si>
  <si>
    <t>Амортизация ЭТС 1Р04: 1 шт. по 67 RUR.  (данные из БД)</t>
  </si>
  <si>
    <t>Купон по SU29007RMFS0 - ОФЗ 29007 1шт. по 45.97 RUR (данные из БД)</t>
  </si>
  <si>
    <t>Купон по RU000A103828 - ЭТС 1Р04 1шт. по 14.76 RUR (данные из БД)</t>
  </si>
  <si>
    <t>Частичное погашение облигаций по RU000A103828 - ЭТС 1Р04 (данные из сделок)</t>
  </si>
  <si>
    <t>Выплата купонов по RU000A103828 - ЭТС 1Р04 (данные из сделок)</t>
  </si>
  <si>
    <t>Купон по SU26235RMFS0 - ОФЗ 26235 8шт. по 29.42 RUR (данные из БД)</t>
  </si>
  <si>
    <t>Купон по RU000A106K43 - РЖД 1Р-26R 1шт. по 14.54 RUR (данные из БД)</t>
  </si>
  <si>
    <t>Выплата купонов по RU000A106K43 - РЖД 1Р-26R (данные из сделок)</t>
  </si>
  <si>
    <t>Купон по RU000A1068R1 - РСХБ2Р2 2шт. по 14.75 RUR (данные из БД)</t>
  </si>
  <si>
    <t>Купон по RU000A103Q08 - ХэндрснБ01 1шт. по 17.67 RUR (данные из БД)</t>
  </si>
  <si>
    <t>Дивиденд по NVTK - Новатэк ао 1шт. по 44.09 RUR (данные из БД)</t>
  </si>
  <si>
    <t>Купон по SU52004RMFS7 - ОФЗ 52004 4шт. по 15.66 RUR (данные из БД)</t>
  </si>
  <si>
    <t>Купон по SU26244RMFS2 - ОФЗ 26244 4шт. по 47.47 RUR (данные из БД)</t>
  </si>
  <si>
    <t>Купон по SU26218RMFS6 - ОФЗ 26218 2шт. по 42.38 RUR (данные из БД)</t>
  </si>
  <si>
    <t>Выплата купонов по SU26244RMFS2 - ОФЗ 26244 (данные из сделок)</t>
  </si>
  <si>
    <t>Выплата купонов по SU26218RMFS6 - ОФЗ 26218 (данные из сделок)</t>
  </si>
  <si>
    <t>Купон по SU26230RMFS1 - ОФЗ 26230 13шт. по 38.39 RUR (данные из БД)</t>
  </si>
  <si>
    <t>Купон по SU26221RMFS0 - ОФЗ 26221 2шт. по 38.39 RUR (данные из БД)</t>
  </si>
  <si>
    <t>Купон по SU29008RMFS8 - ОФЗ 29008 2шт. по 51.31 RUR (данные из БД)</t>
  </si>
  <si>
    <t>Выплата дивидендов по NVTK.IL - PAO NOVATEK (данные из сделок)</t>
  </si>
  <si>
    <t>Купон по SU26228RMFS5 - ОФЗ 26228 5шт. по 38.15 RUR (данные из БД)</t>
  </si>
  <si>
    <t>Купон по RU000A106K43 - РЖД 1Р-26R 1шт. по 14.43 RUR (данные из БД)</t>
  </si>
  <si>
    <t>Амортизация ОФЗ 24021: 1 шт. по 1000 RUR.  (данные из БД)</t>
  </si>
  <si>
    <t>Купон по SU24021RMFS6 - ОФЗ 24021 1шт. по 39.13 RUR (данные из БД)</t>
  </si>
  <si>
    <t>Купон по RU000A1042W6 - ВЭБP-31 1шт. по 43.1 RUR (данные из БД)</t>
  </si>
  <si>
    <t>Купон по RU000A1068R1 - РСХБ2Р2 2шт. по 14.59 RUR (данные из БД)</t>
  </si>
  <si>
    <t>Полное погашение облигаций по SU24021RMFS6 - ОФЗ 24021 (данные из сделок)</t>
  </si>
  <si>
    <t>Купон по SU29024RMFS5 - ОФЗ 29024 1шт. по 39.1 RUR (данные из БД)</t>
  </si>
  <si>
    <t>Купон по RU000A102CX8 - Ульоб34003 1шт. по 4.67 RUR (данные из БД)</t>
  </si>
  <si>
    <t>Купон по SU29009RMFS6 - ОФЗ 29009 3шт. по 57.84 RUR (данные из БД)</t>
  </si>
  <si>
    <t>Выплата купонов по RU000A102CX8 - Ульоб34003 (данные из сделок)</t>
  </si>
  <si>
    <t>Амортизация ТАЛАНФБ1P3: 2 шт. по 150 RUR.  (данные из БД)</t>
  </si>
  <si>
    <t>Частичное погашение облигаций по RU000A1043B8 - ТАЛАНФБ1P3 (данные из сделок)</t>
  </si>
  <si>
    <t>Купон по SU52005RMFS4 - ОФЗ 52005 6шт. по 13.63 RUR (данные из БД)</t>
  </si>
  <si>
    <t>Купон по RU000A106K43 - РЖД 1Р-26R 1шт. по 14.4 RUR (данные из БД)</t>
  </si>
  <si>
    <t>Купон по SU26225RMFS1 - ОФЗ 26225 9шт. по 36.15 RUR (данные из БД)</t>
  </si>
  <si>
    <t>Купон по RU000A101GD3 - ГТЛК 1P-16 1шт. по 8.66 RUR (данные из БД)</t>
  </si>
  <si>
    <t>Купон по RU000A1068R1 - РСХБ2Р2 2шт. по 14.57 RUR (данные из БД)</t>
  </si>
  <si>
    <t>Купон по SU26241RMFS8 - ОФЗ 26241 6шт. по 47.37 RUR (данные из БД)</t>
  </si>
  <si>
    <t>Выплата купонов по SU26241RMFS8 - ОФЗ 26241 (данные из сделок)</t>
  </si>
  <si>
    <t>Дивиденд по IRAO - ИнтерРАОао 1000шт. по 0.33 RUR (данные из БД)</t>
  </si>
  <si>
    <t>Купон по RU000A103760 - ХКФБанкБ04 1шт. по 19.95 RUR (данные из БД)</t>
  </si>
  <si>
    <t>Выплата купонов по RU000A103760 - ХКФБанкБ04 (данные из сделок)</t>
  </si>
  <si>
    <t>Купон по SU26243RMFS4 - ОФЗ 26243 8шт. по 48.87 RUR (данные из БД)</t>
  </si>
  <si>
    <t>Купон по RU000A102G50 - ВСК 1P-01R 2шт. по 32.66 RUR (данные из БД)</t>
  </si>
  <si>
    <t>Купон по SU26238RMFS4 - ОФЗ 26238 18шт. по 35.4 RUR (данные из БД)</t>
  </si>
  <si>
    <t>Купон по RU000A103828 - ЭТС 1Р04 1шт. по 13.11 RUR (данные из БД)</t>
  </si>
  <si>
    <t>Дивиденд по MAGN - ММК 30шт. по 2.75 RUR (данные из БД)</t>
  </si>
  <si>
    <t>Купон по RU000A102H91 - Автодор3Р1 1шт. по 30.12 RUR (данные из БД)</t>
  </si>
  <si>
    <t>Дивиденд по MOEX - МосБиржа 10шт. по 17.35 RUR (данные из БД)</t>
  </si>
  <si>
    <t>Купон по SU29010RMFS4 - ОФЗ 29010 7шт. по 65.77 RUR (данные из БД)</t>
  </si>
  <si>
    <t>Купон по RU000A106K43 - РЖД 1Р-26R 1шт. по 14.58 RUR (данные из БД)</t>
  </si>
  <si>
    <t>Амортизация ХэндрснБ01: 1 шт. по 150 RUR.  (данные из БД)</t>
  </si>
  <si>
    <t>Купон по RU000A1068R1 - РСХБ2Р2 2шт. по 14.76 RUR (данные из БД)</t>
  </si>
  <si>
    <t>Купон по RU000A103Q08 - ХэндрснБ01 1шт. по 15.71 RUR (данные из БД)</t>
  </si>
  <si>
    <t>Выплата дивидендов по MAGN - ММК (данные из сделок)</t>
  </si>
  <si>
    <t>Амортизация Ульоб35002: 2 шт. по 200 RUR.  (данные из БД)</t>
  </si>
  <si>
    <t>Частичное погашение облигаций по RU000A101U61 - Ульоб35002 (данные из сделок)</t>
  </si>
  <si>
    <t>Дивиденд по MSNG - +МосЭнерго 1000шт. по 0.16 RUR (данные из БД)</t>
  </si>
  <si>
    <t>Дивиденд по TATN - Татнфт 3ао 1шт. по 25.17 RUR (данные из БД)</t>
  </si>
  <si>
    <t>Дивиденд по SBERP - Сбербанк-п 30шт. по 33.3 RUR (данные из БД)</t>
  </si>
  <si>
    <t>Дивиденд по SBER - Сбербанк 130шт. по 33.3 RUR (данные из БД)</t>
  </si>
  <si>
    <t>Дивиденд по MTSS - МТС-ао 10шт. по 35 RUR (данные из БД)</t>
  </si>
  <si>
    <t>Дивиденд по AFKS - Система ао 100шт. по 0.52 RUR (данные из БД)</t>
  </si>
  <si>
    <t>Дивиденд по SNGS - Сургнфгз 100шт. по 0.85 RUR (данные из БД)</t>
  </si>
  <si>
    <t>Дивиденд по SNGSP - Сургнфгз-п 100шт. по 12.29 RUR (данные из БД)</t>
  </si>
  <si>
    <t>Дивиденд по FLOT - Совкомфлот 10шт. по 11.27 RUR (данные из БД)</t>
  </si>
  <si>
    <t>Купон по RU000A106K43 - РЖД 1Р-26R 1шт. по 14.59 RUR (данные из БД)</t>
  </si>
  <si>
    <t>Купон по RU000A1042W6 - ВЭБP-31 1шт. по 43.42 RUR (данные из БД)</t>
  </si>
  <si>
    <t>Выплата дивидендов по FLOT - Совкомфлот (данные из сделок)</t>
  </si>
  <si>
    <t>Выплата дивидендов по MSNG - +МосЭнерго (данные из сделок)</t>
  </si>
  <si>
    <t>Амортизация iПМЕДДМ1Р2: 1 шт. по 1000 RUR.  (данные из БД)</t>
  </si>
  <si>
    <t>Купон по RU000A1068R1 - РСХБ2Р2 2шт. по 14.74 RUR (данные из БД)</t>
  </si>
  <si>
    <t>Купон по RU000A1075S4 - ИКС5Фин3P2 2шт. по 14.05 RUR (данные из БД)</t>
  </si>
  <si>
    <t>Полное погашение облигаций по RU000A103G91 - iПМЕДДМ1Р2 (данные из сделок)</t>
  </si>
  <si>
    <t>Купон по RU000A105CM4 - Новотр 1Р3 1шт. по 29.17 RUR (данные из БД)</t>
  </si>
  <si>
    <t>Выплата дивидендов по MTSS - МТС-ао (данные из сделок)</t>
  </si>
  <si>
    <t>Выплата купонов по RU000A1075S4 - ИКС5Фин3P2 (данные из сделок)</t>
  </si>
  <si>
    <t>Купон по SU26239RMFS2 - ОФЗ 26239 1шт. по 34.41 RUR (данные из БД)</t>
  </si>
  <si>
    <t>Купон по SU26233RMFS5 - ОФЗ 26233 30шт. по 30.42 RUR (данные из БД)</t>
  </si>
  <si>
    <t>Купон по SU29024RMFS5 - ОФЗ 29024 1шт. по 39.45 RUR (данные из БД)</t>
  </si>
  <si>
    <t>Купон по SU29006RMFS2 - ОФЗ 29006 1шт. по 72.6 RUR (данные из БД)</t>
  </si>
  <si>
    <t>Выплата купонов по RU000A105CM4 - Новотр 1Р3 (данные из сделок)</t>
  </si>
  <si>
    <t>Выплата купонов по SU26239RMFS2 - ОФЗ 26239 (данные из сделок)</t>
  </si>
  <si>
    <t>Купон по SU52002RMFS1 - ОФЗ 52002 2шт. по 18.82 RUR (данные из БД)</t>
  </si>
  <si>
    <t>Выплата купонов по SU52002RMFS1 - ОФЗ 52002 (данные из сделок)</t>
  </si>
  <si>
    <t>Купон по SU26240RMFS0 - ОФЗ 26240 18шт. по 34.9 RUR (данные из БД)</t>
  </si>
  <si>
    <t>Амортизация ТАЛАНФБ1P3: 2 шт. по 200 RUR.  (данные из БД)</t>
  </si>
  <si>
    <t>Купон по RU000A1043B8 - ТАЛАНФБ1P3 2шт. по 27.55 RUR (данные из БД)</t>
  </si>
  <si>
    <t>Полное погашение облигаций по RU000A0JY031 - МФ МарЭл17 (данные из сделок)</t>
  </si>
  <si>
    <t>Купон по RU000A103760 - ХКФБанкБ04 2шт. по 19.95 RUR (данные из БД)</t>
  </si>
  <si>
    <t>Купон по SU29007RMFS0 - ОФЗ 29007 1шт. по 78.63 RUR (данные из БД)</t>
  </si>
  <si>
    <t>Купон по SU26242RMFS6 - ОФЗ 26242 4шт. по 44.88 RUR (данные из БД)</t>
  </si>
  <si>
    <t>Купон по RU000A103828 - ЭТС 1Р04 1шт. по 11.45 RUR (данные из БД)</t>
  </si>
  <si>
    <t>Выплата купонов по SU26242RMFS6 - ОФЗ 26242 (данные из сделок)</t>
  </si>
  <si>
    <t>Купон по SU26235RMFS0 - ОФЗ 26235 11шт. по 29.42 RUR (данные из БД)</t>
  </si>
  <si>
    <t>Купон по RU000A106K43 - РЖД 1Р-26R 1шт. по 15.3 RUR (данные из БД)</t>
  </si>
  <si>
    <t>Купон по RU000A103Q08 - ХэндрснБ01 1шт. по 11.78 RUR (данные из БД)</t>
  </si>
  <si>
    <t>Купон по SU26218RMFS6 - ОФЗ 26218 5шт. по 42.38 RUR (данные из БД)</t>
  </si>
  <si>
    <t>Купон по RU000A1061K1 - ЕвроТранс3 1шт. по 11.18 RUR (данные из БД)</t>
  </si>
  <si>
    <t>Купон по SU52004RMFS7 - ОФЗ 52004 4шт. по 16.26 RUR (данные из БД)</t>
  </si>
  <si>
    <t>Купон по SU26244RMFS2 - ОФЗ 26244 7шт. по 56.1 RUR (данные из БД)</t>
  </si>
  <si>
    <t>Купон по RU000A1068R1 - РСХБ2Р2 2шт. по 15.61 RUR (данные из БД)</t>
  </si>
  <si>
    <t>Выплата купонов по RU000A1061K1 - ЕвроТранс3 (данные из сделок)</t>
  </si>
  <si>
    <t>Купон по RU000A1075S4 - ИКС5Фин3P2 2шт. по 15.7 RUR (данные из БД)</t>
  </si>
  <si>
    <t>Дивиденд по RTKM - Ростел -ао 40шт. по 6.06 RUR (данные из БД)</t>
  </si>
  <si>
    <t>Купон по SU26221RMFS0 - ОФЗ 26221 6шт. по 38.39 RUR (данные из БД)</t>
  </si>
  <si>
    <t>Купон по SU26230RMFS1 - ОФЗ 26230 16шт. по 38.39 RUR (данные из БД)</t>
  </si>
  <si>
    <t>Купон по RU000A0JVM81 - Оренб35003 1шт. по 6.98 RUR (данные из БД)</t>
  </si>
  <si>
    <t>Дивиденд по TATN - Татнфт 3ао 1шт. по 38.2 RUR (данные из БД)</t>
  </si>
  <si>
    <t>Купон по SU29008RMFS8 - ОФЗ 29008 5шт. по 82.22 RUR (данные из БД)</t>
  </si>
  <si>
    <t>Дивиденд по NVTK - Новатэк ао 1шт. по 35.5 RUR (данные из БД)</t>
  </si>
  <si>
    <t>Выплата дивидендов по RTKM - Публичное акционерное общество Ростелеком (данные из сделок)</t>
  </si>
  <si>
    <t>Купон по SU26228RMFS5 - ОФЗ 26228 10шт. по 38.15 RUR (данные из БД)</t>
  </si>
  <si>
    <t>Купон по RU000A101XN7 - Систем1P14 1шт. по 26.18 RUR (данные из БД)</t>
  </si>
  <si>
    <t>Дивиденд по MAGN - ММК 30шт. по 2.49 RUR (данные из БД)</t>
  </si>
  <si>
    <t>Выплата купонов по RU000A101XN7 - Систем1P14 (данные из сделок)</t>
  </si>
  <si>
    <t>Дивиденд по ALRS - АЛРОСА ао 10шт. по 2.49 RUR (данные из БД)</t>
  </si>
  <si>
    <t>Купон по RU000A1042W6 - ВЭБP-31 1шт. по 48.3 RUR (данные из БД)</t>
  </si>
  <si>
    <t>Купон по RU000A106K43 - РЖД 1Р-26R 1шт. по 16.6 RUR (данные из БД)</t>
  </si>
  <si>
    <t>Купон по RU000A1075S4 - ИКС5Фин3P2 2шт. по 16.52 RUR (данные из БД)</t>
  </si>
  <si>
    <t>Купон по RU000A1068R1 - РСХБ2Р2 2шт. по 16.85 RUR (данные из БД)</t>
  </si>
  <si>
    <t>Купон по RU000A105CM4 - Новотр 1Р3 2шт. по 29.17 RUR (данные из БД)</t>
  </si>
  <si>
    <t>Купон по SU29024RMFS5 - ОФЗ 29024 1шт. по 44.89 RUR (данные из БД)</t>
  </si>
  <si>
    <t>Купон по RU000A1003A4 - ГТЛК 1P-13 1шт. по 23.86 RUR (данные из БД)</t>
  </si>
  <si>
    <t>Выплата купонов по RU000A1003A4 - ГТЛК 1P-13 (данные из сделок)</t>
  </si>
  <si>
    <t>Выплата дивидендов по ALRS - АЛРОСА ао (данные из сделок)</t>
  </si>
  <si>
    <t>Купон по SU29009RMFS6 - ОФЗ 29009 7шт. по 84.97 RUR (данные из БД)</t>
  </si>
  <si>
    <t>Амортизация ТАЛАНФБ1P3: 2 шт. по 250 RUR.  (данные из БД)</t>
  </si>
  <si>
    <t>Купон по RU000A1043B8 - ТАЛАНФБ1P3 2шт. по 21.07 RUR (данные из БД)</t>
  </si>
  <si>
    <t>Купон по SU52005RMFS4 - ОФЗ 52005 6шт. по 14.15 RUR (данные из БД)</t>
  </si>
  <si>
    <t>Купон по RU000A106K43 - РЖД 1Р-26R 1шт. по 16.79 RUR (данные из БД)</t>
  </si>
  <si>
    <t>Купон по RU000A106AT1 - ГазпромКP6 1шт. по 24.93 RUR (данные из БД)</t>
  </si>
  <si>
    <t>Купон по RU000A1068R1 - РСХБ2Р2 2шт. по 16.98 RUR (данные из БД)</t>
  </si>
  <si>
    <t>Купон по SU26241RMFS8 - ОФЗ 26241 9шт. по 47.37 RUR (данные из БД)</t>
  </si>
  <si>
    <t>Купон по SU26247RMFS5 - ОФЗ 26247 1шт. по 65.78 RUR (данные из БД)</t>
  </si>
  <si>
    <t>Выплата купонов по RU000A106AT1 - ГазпромКP6 (данные из сделок)</t>
  </si>
  <si>
    <t>Выплата купонов по SU26247RMFS5 - ОФЗ 26247 (данные из сделок)</t>
  </si>
  <si>
    <t>Купон по RU000A105KB0 - ГТЛК 2P-02 1шт. по 29.17 RUR (данные из БД)</t>
  </si>
  <si>
    <t>Купон по RU000A104V75 - ПочтаР2P01 1шт. по 56.84 RUR (данные из БД)</t>
  </si>
  <si>
    <t>Купон по SU26248RMFS3 - ОФЗ 26248 1шт. по 68.13 RUR (данные из БД)</t>
  </si>
  <si>
    <t>Купон по SU26243RMFS4 - ОФЗ 26243 10шт. по 48.87 RUR (данные из БД)</t>
  </si>
  <si>
    <t>Купон по SU26238RMFS4 - ОФЗ 26238 22шт. по 35.4 RUR (данные из БД)</t>
  </si>
  <si>
    <t>Купон по RU000A101SC0 - ГТЛК 1P-18 1шт. по 19.55 RUR (данные из БД)</t>
  </si>
  <si>
    <t>Выплата купонов по RU000A105KB0 - ГТЛК 2P-02 (данные из сделок)</t>
  </si>
  <si>
    <t>Купон по RU000A107W06 - Новотр 1Р5 1шт. по 35.53 RUR (данные из БД)</t>
  </si>
  <si>
    <t>Купон по RU000A103828 - ЭТС 1Р04 1шт. по 9.8 RUR (данные из БД)</t>
  </si>
  <si>
    <t>Выплата купонов по SU26248RMFS3 - ОФЗ 26248 (данные из сделок)</t>
  </si>
  <si>
    <t>Выплата купонов по RU000A104V75 - ПочтаР2P01 (данные из сделок)</t>
  </si>
  <si>
    <t>Выплата купонов по RU000A101SC0 - ГТЛК 1P-18 (данные из сделок)</t>
  </si>
  <si>
    <t>Выплата купонов по RU000A107W06 - Новотр 1Р5 (данные из сделок)</t>
  </si>
  <si>
    <t>Дивиденд по PLZL - Полюс 1шт. по 1301.75 RUR (данные из БД)</t>
  </si>
  <si>
    <t>Выплата дивидендов по PLZL - Публичное акционерное общество Полюс (данные из сделок)</t>
  </si>
  <si>
    <t>Купон по SU29010RMFS4 - ОФЗ 29010 10шт. по 86.31 RUR (данные из БД)</t>
  </si>
  <si>
    <t>Купон по RU000A103Q08 - ХэндрснБ01 1шт. по 7.85 RUR (данные из БД)</t>
  </si>
  <si>
    <t>Купон по RU000A106K43 - РЖД 1Р-26R 1шт. по 18.06 RUR (данные из БД)</t>
  </si>
  <si>
    <t>Купон по RU000A1075S4 - ИКС5Фин3P2 2шт. по 18.16 RUR (данные из БД)</t>
  </si>
  <si>
    <t>Амортизация Ульоб35002: 2 шт. по 100 RUR.  (данные из БД)</t>
  </si>
  <si>
    <t>Купон по RU000A101U61 - Ульоб35002 2шт. по 26.33 RUR (данные из БД)</t>
  </si>
  <si>
    <t>Купон по RU000A1068R1 - РСХБ2Р2 2шт. по 18.39 RUR (данные из БД)</t>
  </si>
  <si>
    <t>Дивиденд по TATN - Татнфт 3ао 9шт. по 17.39 RUR (данные из БД)</t>
  </si>
  <si>
    <t>Амортизация АБЗ-1 1Р04: 1 шт. по 165 RUR.  (данные из БД)</t>
  </si>
  <si>
    <t>Купон по RU000A100N12 - Систем1P11 1шт. по 54.35 RUR (данные из БД)</t>
  </si>
  <si>
    <t>Выплата купонов по RU000A100N12 - Систем1P11 (данные из сделок)</t>
  </si>
  <si>
    <t>Купон по RU000A1042W6 - ВЭБP-31 1шт. по 55.05 RUR (данные из БД)</t>
  </si>
  <si>
    <t>Частичное погашение облигаций по RU000A1065B1 - АБЗ-1 1Р04 (данные из сделок)</t>
  </si>
  <si>
    <t>Выплата дивидендов по TATN - Татнфт 3ао (данные из сделок)</t>
  </si>
  <si>
    <t>Купон по RU000A106K43 - РЖД 1Р-26R 1шт. по 18.98 RUR (данные из БД)</t>
  </si>
  <si>
    <t>Купон по RU000A1068R1 - РСХБ2Р2 2шт. по 19.2 RUR (данные из БД)</t>
  </si>
  <si>
    <t>Амортизация ОФЗ 29006: 1 шт. по 1000 RUR.  (данные из БД)</t>
  </si>
  <si>
    <t>Купон по SU29006RMFS2 - ОФЗ 29006 1шт. по 84.72 RUR (данные из БД)</t>
  </si>
  <si>
    <t>Купон по SU29024RMFS5 - ОФЗ 29024 1шт. по 51.52 RUR (данные из БД)</t>
  </si>
  <si>
    <t>Купон по SU26239RMFS2 - ОФЗ 26239 4шт. по 34.41 RUR (данные из БД)</t>
  </si>
  <si>
    <t>Полное погашение облигаций по SU29006RMFS2 - ОФЗ 29006 (данные из сделок)</t>
  </si>
  <si>
    <t>Купон по RU000A106P06 - ВСК 1P-04R 3шт. по 59.84 RUR (данные из БД)</t>
  </si>
  <si>
    <t>Выплата купонов по RU000A106P06 - ВСК 1P-04R (данные из сделок)</t>
  </si>
  <si>
    <t>Купон по SU52002RMFS1 - ОФЗ 52002 2шт. по 19.58 RUR (данные из БД)</t>
  </si>
  <si>
    <t>Купон по RU000A105VC5 - Полюс Б1P3 3шт. по 51.86 RUR (данные из БД)</t>
  </si>
  <si>
    <t>Купон по RU000A1043B8 - ТАЛАНФБ1P3 2шт. по 12.96 RUR (данные из БД)</t>
  </si>
  <si>
    <t>Выплата купонов по RU000A105VC5 - Полюс Б1P3 (данные из сделок)</t>
  </si>
  <si>
    <t>Купон по RU000A0ZYVU5 - Роснфт2P5 2шт. по 44.88 RUR (данные из БД)</t>
  </si>
  <si>
    <t>Выплата купонов по RU000A0ZYVU5 - Роснфт2P5 (данные из сделок)</t>
  </si>
  <si>
    <t>Купон по RU000A106K43 - РЖД 1Р-26R 1шт. по 18.67 RUR (данные из БД)</t>
  </si>
  <si>
    <t>Купон по RU000A106AT1 - ГазпромКP6 3шт. по 24.93 RUR (данные из БД)</t>
  </si>
  <si>
    <t>Ввод ДС</t>
  </si>
  <si>
    <t>Купон по RU000A1068R1 - РСХБ2Р2 2шт. по 18.82 RUR (данные из БД)</t>
  </si>
  <si>
    <t>Купон по SU29007RMFS0 - ОФЗ 29007 1шт. по 87.01 RUR (данные из БД)</t>
  </si>
  <si>
    <t>Купон по RU000A103828 - ЭТС 1Р04 1шт. по 8.15 RUR (данные из БД)</t>
  </si>
  <si>
    <t>Купон по RU000A1017J5 - Газпнф3P2R 2шт. по 17.83 RUR (данные из БД)</t>
  </si>
  <si>
    <t>Выплата купонов по RU000A1017J5 - Газпнф3P2R (данные из сделок)</t>
  </si>
  <si>
    <t>Купон по SU26235RMFS0 - ОФЗ 26235 14шт. по 29.42 RUR (данные из БД)</t>
  </si>
  <si>
    <t>Купон по RU000A1007Z2 - РЖД 1Р-13R 2шт. по 45.38 RUR (данные из БД)</t>
  </si>
  <si>
    <t>Купон по RU000A103Q08 - ХэндрснБ01 1шт. по 3.93 RUR (данные из БД)</t>
  </si>
  <si>
    <t>Выплата купонов по RU000A1007Z2 - РЖД 1Р-13R (данные из сделок)</t>
  </si>
  <si>
    <t>Купон по SU26246RMFS7 - ОФЗ 26246 5шт. по 59.84 RUR (данные из БД)</t>
  </si>
  <si>
    <t>Купон по SU26218RMFS6 - ОФЗ 26218 10шт. по 42.38 RUR (данные из БД)</t>
  </si>
  <si>
    <t>Купон по SU52004RMFS7 - ОФЗ 52004 4шт. по 17.13 RUR (данные из БД)</t>
  </si>
  <si>
    <t>Полное погашение облигаций по RU000A103Q08 - ХэндрснБ01 (данные из сделок)</t>
  </si>
  <si>
    <t>Выплата купонов по SU26246RMFS7 - ОФЗ 26246 (данные из сделок)</t>
  </si>
  <si>
    <t>Купон по RU000A0JXN21 - СистемБ1P6 1шт. по 52.36 RUR (данные из БД)</t>
  </si>
  <si>
    <t>Купон по RU000A106K43 - РЖД 1Р-26R 1шт. по 18.7 RUR (данные из БД)</t>
  </si>
  <si>
    <t>Купон по RU000A1068R1 - РСХБ2Р2 2шт. по 18.86 RUR (данные из БД)</t>
  </si>
  <si>
    <t>Выплата купонов по RU000A0JXN21 - СистемБ1P6 (данные из сделок)</t>
  </si>
  <si>
    <t>Купон по SU26230RMFS1 - ОФЗ 26230 17шт. по 38.39 RUR (данные из БД)</t>
  </si>
  <si>
    <t>Купон по SU26221RMFS0 - ОФЗ 26221 9шт. по 38.39 RUR (данные из БД)</t>
  </si>
  <si>
    <t>Купон по RU000A109PF2 - РЖД 1Р-33R 1шт. по 18.76 RUR (данные из БД)</t>
  </si>
  <si>
    <t>Купон по SU26245RMFS9 - ОФЗ 26245 3шт. по 59.84 RUR (данные из БД)</t>
  </si>
  <si>
    <t>Купон по SU29008RMFS8 - ОФЗ 29008 5шт. по 90.15 RUR (данные из БД)</t>
  </si>
  <si>
    <t>Выплата купонов по SU26245RMFS9 - ОФЗ 26245 (данные из сделок)</t>
  </si>
  <si>
    <t>Купон по RU000A106ZL5 - РЖД 1Р-28R 1шт. по 18.84 RUR (данные из БД)</t>
  </si>
  <si>
    <t>Купон по RU000A102952 - ВИС Ф БП01 1шт. по 24.93 RUR (данные из БД)</t>
  </si>
  <si>
    <t>Купон по SU26228RMFS5 - ОФЗ 26228 13шт. по 38.15 RUR (данные из БД)</t>
  </si>
  <si>
    <t>Купон по RU000A0JXPN8 - Ростел1P2R 1шт. по 97.23 RUR (данные из БД)</t>
  </si>
  <si>
    <t>Выплата купонов по RU000A106ZL5 - РЖД 1Р-28R (данные из сделок)</t>
  </si>
  <si>
    <t>Выплата купонов по RU000A102952 - ВИС Ф БП01 (данные из сделок)</t>
  </si>
  <si>
    <t>Выплата купонов по RU000A0JXPN8 - Ростел1P2R (данные из сделок)</t>
  </si>
  <si>
    <t>Купон по RU000A1065B1 - АБЗ-1 1Р04 1шт. по 28.62 RUR (данные из БД)</t>
  </si>
  <si>
    <t>Купон по RU000A1042W6 - ВЭБP-31 1шт. по 56.52 RUR (данные из БД)</t>
  </si>
  <si>
    <t>Дивиденд по PLZL - Полюс 10шт. по 73 RUR (данные из БД)</t>
  </si>
  <si>
    <t>Дивиденд по NVTK - Новатэк ао 1шт. по 46.65 RUR (данные из БД)</t>
  </si>
  <si>
    <t>Купон по RU000A106K43 - РЖД 1Р-26R 1шт. по 19.17 RUR (данные из БД)</t>
  </si>
  <si>
    <t>Выплата дивидендов по PLZL - Полюс (данные из сделок)</t>
  </si>
  <si>
    <t>Амортизация Беларусь07: 1 шт. по 1000 RUR.  (данные из БД)</t>
  </si>
  <si>
    <t>Купон по SU29024RMFS5 - ОФЗ 29024 1шт. по 52.59 RUR (данные из БД)</t>
  </si>
  <si>
    <t>Купон по RU000A1068R1 - РСХБ2Р2 2шт. по 19.38 RUR (данные из БД)</t>
  </si>
  <si>
    <t>Купон по RU000A104SX0 - РЖД 1Р-24R 1шт. по 59.19 RUR (данные из БД)</t>
  </si>
  <si>
    <t>Дивиденд по BSPB - БСП ао 10шт. по 29.72 RUR (данные из БД)</t>
  </si>
  <si>
    <t>Полное погашение облигаций по RU000A100D89 - Беларусь07 (данные из сделок)</t>
  </si>
  <si>
    <t>Выплата купонов по RU000A104SX0 - РЖД 1Р-24R (данные из сделок)</t>
  </si>
  <si>
    <t>Купон по RU000A109PF2 - РЖД 1Р-33R 1шт. по 19.24 RUR (данные из БД)</t>
  </si>
  <si>
    <t>Купон по RU000A10B933 - Селигдар3Р 1шт. по 19.11 RUR (данные из БД)</t>
  </si>
  <si>
    <t>Купон по RU000A1008D7 - РЖД 1Р-14R 2шт. по 45.38 RUR (данные из БД)</t>
  </si>
  <si>
    <t>Выплата купонов по RU000A109PF2 - РЖД 1Р-33R (данные из сделок)</t>
  </si>
  <si>
    <t>Выплата дивидендов по BSPB - БСП ао (данные из сделок)</t>
  </si>
  <si>
    <t>Выплата купонов по RU000A1008D7 - РЖД 1Р-14R (данные из сделок)</t>
  </si>
  <si>
    <t>Выплата купонов по RU000A10B933 - Селигдар3Р (данные из сделок)</t>
  </si>
  <si>
    <t>Купон по SU29009RMFS6 - ОФЗ 29009 11шт. по 93.99 RUR (данные из БД)</t>
  </si>
  <si>
    <t>Купон по RU000A106ZL5 - РЖД 1Р-28R 1шт. по 19.21 RUR (данные из БД)</t>
  </si>
  <si>
    <t>Дивиденд по T - Т-Техно ао 6шт. по 32 RUR (данные из БД)</t>
  </si>
  <si>
    <t>Купон по RU000A1043B8 - ТАЛАНФБ1P3 2шт. по 6.48 RUR (данные из БД)</t>
  </si>
  <si>
    <t>Полное погашение облигаций по RU000A1043B8 - ТАЛАНФБ1P3 (данные из сделок)</t>
  </si>
  <si>
    <t>Купон по SU26225RMFS1 - ОФЗ 26225 10шт. по 36.15 RUR (данные из БД)</t>
  </si>
  <si>
    <t>Купон по SU52005RMFS4 - ОФЗ 52005 6шт. по 14.99 RUR (данные из БД)</t>
  </si>
  <si>
    <t>Купон по RU000A101GD3 - ГТЛК 1P-16 1шт. по 6.5 RUR (данные из БД)</t>
  </si>
  <si>
    <t>Купон по RU000A10BFX7 - СамолетP16 1шт. по 20.96 RUR (данные из БД)</t>
  </si>
  <si>
    <t>Выплата дивидендов по T - Т-Техно ао (данные из сделок)</t>
  </si>
  <si>
    <t>Выплата купонов по RU000A10BFX7 - СамолетP16 (данные из сделок)</t>
  </si>
  <si>
    <t>Купон по SU26241RMFS8 - ОФЗ 26241 10шт. по 47.37 RUR (данные из БД)</t>
  </si>
  <si>
    <t>Купон по SU26247RMFS5 - ОФЗ 26247 6шт. по 61.08 RUR (данные из БД)</t>
  </si>
  <si>
    <t>Купон по RU000A106K43 - РЖД 1Р-26R 1шт. по 19.2 RUR (данные из БД)</t>
  </si>
  <si>
    <t>Купон по RU000A10ATW2 - БалтЛизП15 1шт. по 19.48 RUR (данные из БД)</t>
  </si>
  <si>
    <t>Выплата купонов по RU000A10ATW2 - БалтЛизП15 (данные из сделок)</t>
  </si>
  <si>
    <t>Купон по RU000A1068R1 - РСХБ2Р2 2шт. по 19.3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</si>
  <si>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</si>
  <si>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</si>
  <si>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</si>
  <si>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</si>
  <si>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</si>
  <si>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</si>
  <si>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</si>
  <si>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</si>
  <si>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SU24021RMFS6</t>
  </si>
  <si>
    <t>RU000A100D89</t>
  </si>
  <si>
    <t>RU000A0JY031</t>
  </si>
  <si>
    <t>GLTR</t>
  </si>
  <si>
    <t>FIXP</t>
  </si>
  <si>
    <t>SU29006RMFS2</t>
  </si>
  <si>
    <t>RU000A1043B8</t>
  </si>
  <si>
    <t>SGZH</t>
  </si>
  <si>
    <t>RU000A103G91</t>
  </si>
  <si>
    <t>RU000A103Q08</t>
  </si>
  <si>
    <t>sell</t>
  </si>
  <si>
    <t>SBER
Сбербанк</t>
  </si>
  <si>
    <t>T
Т-Техно ао</t>
  </si>
  <si>
    <t>PLZL
Полюс</t>
  </si>
  <si>
    <t>SBERP
Сбербанк-п</t>
  </si>
  <si>
    <t>GAZP
ГАЗПРОМ ао</t>
  </si>
  <si>
    <t>TATN
Татнфт 3ао</t>
  </si>
  <si>
    <t>PIKK
ПИК ао</t>
  </si>
  <si>
    <t>MOEX
МосБиржа</t>
  </si>
  <si>
    <t>SNGSP
Сургнфгз-п</t>
  </si>
  <si>
    <t>IRAO
ИнтерРАОао</t>
  </si>
  <si>
    <t>VTBR
ВТБ ао</t>
  </si>
  <si>
    <t>MTSS
МТС-ао</t>
  </si>
  <si>
    <t>AFLT
Аэрофлот</t>
  </si>
  <si>
    <t>BSPB
БСП ао</t>
  </si>
  <si>
    <t>AFKS
Система ао</t>
  </si>
  <si>
    <t>RTKM
Ростел -ао</t>
  </si>
  <si>
    <t>VKCO
МКПАО "ВК"</t>
  </si>
  <si>
    <t>CBOM
МКБ ао</t>
  </si>
  <si>
    <t>SNGS
Сургнфгз</t>
  </si>
  <si>
    <t>MSNG
+МосЭнерго</t>
  </si>
  <si>
    <t>GMKN
ГМКНорНик</t>
  </si>
  <si>
    <t>FLOT
Совкомфлот</t>
  </si>
  <si>
    <t>UPRO
Юнипро ао</t>
  </si>
  <si>
    <t>FEES
Россети</t>
  </si>
  <si>
    <t>NLMK
НЛМК ао</t>
  </si>
  <si>
    <t>NVTK
Новатэк ао</t>
  </si>
  <si>
    <t>MAGN
ММК</t>
  </si>
  <si>
    <t>HYDR
РусГидро</t>
  </si>
  <si>
    <t>RUAL
РУСАЛ ао</t>
  </si>
  <si>
    <t>ALRS
АЛРОСА ао</t>
  </si>
  <si>
    <t>SU26233RMFS5
ОФЗ 26233</t>
  </si>
  <si>
    <t>SU29010RMFS4
ОФЗ 29010</t>
  </si>
  <si>
    <t>SU26238RMFS4
ОФЗ 26238</t>
  </si>
  <si>
    <t>SU29009RMFS6
ОФЗ 29009</t>
  </si>
  <si>
    <t>SU26240RMFS0
ОФЗ 26240</t>
  </si>
  <si>
    <t>SU26230RMFS1
ОФЗ 26230</t>
  </si>
  <si>
    <t>SU26228RMFS5
ОФЗ 26228</t>
  </si>
  <si>
    <t>SU26235RMFS0
ОФЗ 26235</t>
  </si>
  <si>
    <t>SU26243RMFS4
ОФЗ 26243</t>
  </si>
  <si>
    <t>SU26241RMFS8
ОФЗ 26241</t>
  </si>
  <si>
    <t>SU26218RMFS6
ОФЗ 26218</t>
  </si>
  <si>
    <t>SU26248RMFS3
ОФЗ 26248</t>
  </si>
  <si>
    <t>SU26221RMFS0
ОФЗ 26221</t>
  </si>
  <si>
    <t>SU26225RMFS1
ОФЗ 26225</t>
  </si>
  <si>
    <t>SU26244RMFS2
ОФЗ 26244</t>
  </si>
  <si>
    <t>SU29008RMFS8
ОФЗ 29008</t>
  </si>
  <si>
    <t>SU26246RMFS7
ОФЗ 26246</t>
  </si>
  <si>
    <t>SU26247RMFS5
ОФЗ 26247</t>
  </si>
  <si>
    <t>SU52005RMFS4
ОФЗ 52005</t>
  </si>
  <si>
    <t>SU52004RMFS7
ОФЗ 52004</t>
  </si>
  <si>
    <t>SU26245RMFS9
ОФЗ 26245</t>
  </si>
  <si>
    <t>SU26242RMFS6
ОФЗ 26242</t>
  </si>
  <si>
    <t>SU26239RMFS2
ОФЗ 26239</t>
  </si>
  <si>
    <t>RU000A106P06
ВСК 1P-04R</t>
  </si>
  <si>
    <t>RU000A105VC5
Полюс Б1P3</t>
  </si>
  <si>
    <t>SU52002RMFS1
ОФЗ 52002</t>
  </si>
  <si>
    <t>RU000A106AT1
ГазпромКP6</t>
  </si>
  <si>
    <t>SU26234RMFS3
ОФЗ 26234</t>
  </si>
  <si>
    <t>RU000A1075S4
ИКС5Фин3P2</t>
  </si>
  <si>
    <t>RU000A1068R1
РСХБ2Р2</t>
  </si>
  <si>
    <t>RU000A102G50
ВСК 1P-01R</t>
  </si>
  <si>
    <t>RU000A105CM4
Новотр 1Р3</t>
  </si>
  <si>
    <t>RU000A103760
ХКФБанкБ04</t>
  </si>
  <si>
    <t>RU000A0ZYVU5
Роснфт2P5</t>
  </si>
  <si>
    <t>RU000A1007Z2
РЖД 1Р-13R</t>
  </si>
  <si>
    <t>RU000A100N12
Систем1P11</t>
  </si>
  <si>
    <t>RU000A1008D7
РЖД 1Р-14R</t>
  </si>
  <si>
    <t>RU000A102952
ВИС Ф БП01</t>
  </si>
  <si>
    <t>RU000A1017J5
Газпнф3P2R</t>
  </si>
  <si>
    <t>RU000A101U61
Ульоб35002</t>
  </si>
  <si>
    <t>RU000A10B933
Селигдар3Р</t>
  </si>
  <si>
    <t>RU000A0JXPN8
Ростел1P2R</t>
  </si>
  <si>
    <t>RU000A10BFX7
СамолетP16</t>
  </si>
  <si>
    <t>SU29007RMFS0
ОФЗ 29007</t>
  </si>
  <si>
    <t>RU000A109PF2
РЖД 1Р-33R</t>
  </si>
  <si>
    <t>RU000A10ATW2
БалтЛизП15</t>
  </si>
  <si>
    <t>RU000A106K43
РЖД 1Р-26R</t>
  </si>
  <si>
    <t>RU000A1042W6
ВЭБP-31</t>
  </si>
  <si>
    <t>RU000A107W06
Новотр 1Р5</t>
  </si>
  <si>
    <t>RU000A106ZL5
РЖД 1Р-28R</t>
  </si>
  <si>
    <t>SU29024RMFS5
ОФЗ 29024</t>
  </si>
  <si>
    <t>RU000A105V90
ЕАБР3P-006</t>
  </si>
  <si>
    <t>RU000A104XR2
Автодор3Р2</t>
  </si>
  <si>
    <t>RU000A105KR6
ВСК 1P-03R</t>
  </si>
  <si>
    <t>RU000A104Z48
ВЭБ2P-33</t>
  </si>
  <si>
    <t>RU000A104V75
ПочтаР2P01</t>
  </si>
  <si>
    <t>RU000A105KB0
ГТЛК 2P-02</t>
  </si>
  <si>
    <t>RU000A104SX0
РЖД 1Р-24R</t>
  </si>
  <si>
    <t>RU000A103G00
СТМ 1P2</t>
  </si>
  <si>
    <t>RU000A100KY3
Роснфт2P8</t>
  </si>
  <si>
    <t>RU000A104693
Систем1P23</t>
  </si>
  <si>
    <t>RU000A103QK3
МэйлБ1Р1</t>
  </si>
  <si>
    <t>RU000A0JXN21
СистемБ1P6</t>
  </si>
  <si>
    <t>RU000A1061K1
ЕвроТранс3</t>
  </si>
  <si>
    <t>RU000A102H91
Автодор3Р1</t>
  </si>
  <si>
    <t>RU000A0ZYR91
ГТЛК 1P-08</t>
  </si>
  <si>
    <t>RU000A101XN7
Систем1P14</t>
  </si>
  <si>
    <t>RU000A1003A4
ГТЛК 1P-13</t>
  </si>
  <si>
    <t>RU000A102FS1
Систем1P16</t>
  </si>
  <si>
    <t>RU000A101SC0
ГТЛК 1P-18</t>
  </si>
  <si>
    <t>RU000A101SD8
ГТЛК 1P-19</t>
  </si>
  <si>
    <t>RU000A1065B1
АБЗ-1 1Р04</t>
  </si>
  <si>
    <t>RU000A101GD3
ГТЛК 1P-16</t>
  </si>
  <si>
    <t>RU000A102CX8
Ульоб34003</t>
  </si>
  <si>
    <t>RU000A103828
ЭТС 1Р04</t>
  </si>
  <si>
    <t>RU000A0JVM81
Оренб35003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</si>
  <si>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</si>
  <si>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</si>
  <si>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</si>
  <si>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</si>
  <si>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</si>
  <si>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</si>
  <si>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</si>
  <si>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</si>
  <si>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24021 24/04/24</t>
  </si>
  <si>
    <t>Республика Беларусь 07</t>
  </si>
  <si>
    <t>Респ.Марий Эл 2017обл.08</t>
  </si>
  <si>
    <t>Оренбургская область 35003 об.</t>
  </si>
  <si>
    <t>ОФЗ-ПД 26235 12/03/2031</t>
  </si>
  <si>
    <t>"Магнитогорск.мет.комб" ПАО ао</t>
  </si>
  <si>
    <t>dohod</t>
  </si>
  <si>
    <t>Выплата купонов по RU000A0JY031 - МФ МарЭл17</t>
  </si>
  <si>
    <t>ОФЗ-ПД 26233 18/07/2035</t>
  </si>
  <si>
    <t>ОФЗ-ПД 26225 10/05/34</t>
  </si>
  <si>
    <t>ОФЗ-ПК 29009 05/05/32</t>
  </si>
  <si>
    <t>ГДР Globaltrans Invest ORD SHS</t>
  </si>
  <si>
    <t>ОФЗ-ПК 29010 06/12/34</t>
  </si>
  <si>
    <t>ПАО "НОВАТЭК" ао</t>
  </si>
  <si>
    <t>ао ПАО Банк ВТБ</t>
  </si>
  <si>
    <t>Выплата купонов по RU000A0JVM81 - Оренб35003</t>
  </si>
  <si>
    <t>amort</t>
  </si>
  <si>
    <t>Частичное погашение облигаций по RU000A0JVM81 - Оренб35003</t>
  </si>
  <si>
    <t>ГДР FixPrice Group PLC ORD SHS</t>
  </si>
  <si>
    <t>ПИК СЗ (ПАО) ао</t>
  </si>
  <si>
    <t>"Интер РАО" ПАО ао</t>
  </si>
  <si>
    <t>"Газпром" (ПАО) ао</t>
  </si>
  <si>
    <t>ПАО "Татнефть" ао</t>
  </si>
  <si>
    <t>Выплата купонов по SU24021RMFS6 - ОФЗ 24021</t>
  </si>
  <si>
    <t>Выплата купонов по SU26233RMFS5 - ОФЗ 26233</t>
  </si>
  <si>
    <t>GLDRUB_TOM</t>
  </si>
  <si>
    <t>GLD/RUB_TOM - GLD/РУБ</t>
  </si>
  <si>
    <t>selt</t>
  </si>
  <si>
    <t>Выплата купонов по SU26235RMFS0 - ОФЗ 26235</t>
  </si>
  <si>
    <t>ПАО "РусГидро"</t>
  </si>
  <si>
    <t>"МКБ" ПАО ао</t>
  </si>
  <si>
    <t>Выплата дивидендов по NVTK - Новатэк ао</t>
  </si>
  <si>
    <t>nalog</t>
  </si>
  <si>
    <t>Удержание налога по дивидендам по NVTK - Новатэк ао</t>
  </si>
  <si>
    <t>ГТЛК БО 001P-19</t>
  </si>
  <si>
    <t>Выплата дивидендов по GAZP - ГАЗПРОМ ао</t>
  </si>
  <si>
    <t>Удержание налога по дивидендам по GAZP - ГАЗПРОМ ао</t>
  </si>
  <si>
    <t>Удержание налога по дивидендам по TATN - публичное акционерное общество Татнефть имени В.Д. Шашина</t>
  </si>
  <si>
    <t>Выплата дивидендов по TATN - публичное акционерное общество Татнефть имени В.Д. Шашина</t>
  </si>
  <si>
    <t>Мэйл.Ру Финанс 001P-01</t>
  </si>
  <si>
    <t>АФК Система БО 001P-23</t>
  </si>
  <si>
    <t>Автодор ГК БО-003Р-02</t>
  </si>
  <si>
    <t>ОФЗ-ПД 26221 23/03/33</t>
  </si>
  <si>
    <t>ОФЗ-ПД 26230 16/03/39</t>
  </si>
  <si>
    <t>Выплата купонов по RU000A100D89 - Беларусь07</t>
  </si>
  <si>
    <t>Выплата купонов по SU29009RMFS6 - ОФЗ 29009</t>
  </si>
  <si>
    <t>Частичное погашение облигаций по RU000A0JY031 - МФ МарЭл17</t>
  </si>
  <si>
    <t>Выплата купонов по SU26225RMFS1 - ОФЗ 26225</t>
  </si>
  <si>
    <t>Выплата купонов по RU000A104693 - Систем1P23</t>
  </si>
  <si>
    <t>Выплата купонов по RU000A101SD8 - ГТЛК 1P-19</t>
  </si>
  <si>
    <t>ОФЗ-ПД 26238 15/05/2041</t>
  </si>
  <si>
    <t>ОФЗ-ПК 29008 03/10/29</t>
  </si>
  <si>
    <t>ОФЗ-ПК 29007 03/03/27</t>
  </si>
  <si>
    <t>ОФЗ-ПД 26240 30/07/2036</t>
  </si>
  <si>
    <t>ОФЗ-ПК 29006 29/01/25</t>
  </si>
  <si>
    <t>Сбербанк России ПАО ао</t>
  </si>
  <si>
    <t>Выплата купонов по SU29010RMFS4 - ОФЗ 29010</t>
  </si>
  <si>
    <t>ГТЛК БО 001Р-08</t>
  </si>
  <si>
    <t>АФК "Система" ПАО ао</t>
  </si>
  <si>
    <t>Сбербанк России ПАО ап</t>
  </si>
  <si>
    <t>Выплата купонов по RU000A0ZYR91 - ГТЛК 1P-08</t>
  </si>
  <si>
    <t>Выплата купонов по SU29006RMFS2 - ОФЗ 29006</t>
  </si>
  <si>
    <t>Выплата купонов по RU000A104XR2 - Автодор3Р2</t>
  </si>
  <si>
    <t>Выплата купонов по SU26240RMFS0 - ОФЗ 26240</t>
  </si>
  <si>
    <t>Аэрофлот-росс.авиалин(ПАО)ао</t>
  </si>
  <si>
    <t>ПАО Московская Биржа</t>
  </si>
  <si>
    <t>Выплата купонов по SU29007RMFS0 - ОФЗ 29007</t>
  </si>
  <si>
    <t>Сургутнефтегаз ПАО акции об.</t>
  </si>
  <si>
    <t>Полюс ПАО ао</t>
  </si>
  <si>
    <t>Выплата купонов по RU000A103QK3 - МэйлБ1Р1</t>
  </si>
  <si>
    <t>ОФЗ-ИН 52004 17/03/32</t>
  </si>
  <si>
    <t>Выплата купонов по SU52004RMFS7 - ОФЗ 52004</t>
  </si>
  <si>
    <t>Выплата купонов по SU26221RMFS0 - ОФЗ 26221</t>
  </si>
  <si>
    <t>Выплата купонов по SU26230RMFS1 - ОФЗ 26230</t>
  </si>
  <si>
    <t>ОФЗ-ИН 52005 11/05/33</t>
  </si>
  <si>
    <t>ГТЛК БО 001P-16</t>
  </si>
  <si>
    <t>Выплата купонов по SU29008RMFS8 - ОФЗ 29008</t>
  </si>
  <si>
    <t>Ростелеком (ПАО) ао.</t>
  </si>
  <si>
    <t>ТАЛАН-ФИНАНС БО 001Р-03</t>
  </si>
  <si>
    <t>ОФЗ-ПД 26228 10/04/30</t>
  </si>
  <si>
    <t>Выплата купонов по RU000A1043B8 - ТАЛАНФБ1P3</t>
  </si>
  <si>
    <t>Выплата дивидендов по SBERP - Сбербанк-п</t>
  </si>
  <si>
    <t>Удержание налога по дивидендам по SBERP - Сбербанк-п</t>
  </si>
  <si>
    <t>Выплата дивидендов по SBER - Сбербанк</t>
  </si>
  <si>
    <t>Удержание налога по дивидендам по SBER - Сбербанк</t>
  </si>
  <si>
    <t>Выплата купонов по RU000A101GD3 - ГТЛК 1P-16</t>
  </si>
  <si>
    <t>Восточная Стивидор.Ком 1P-01R</t>
  </si>
  <si>
    <t>Евразийский банк развития 3P-6</t>
  </si>
  <si>
    <t>Автодор ГК БО-003Р-01</t>
  </si>
  <si>
    <t>Синара Транспортные Машины 1P2</t>
  </si>
  <si>
    <t>Восточная Стивидор.Ком 1P-03R</t>
  </si>
  <si>
    <t>Сургутнефтегаз ПАО ап</t>
  </si>
  <si>
    <t>Выплата купонов по RU000A102G50 - ВСК 1P-01R</t>
  </si>
  <si>
    <t>Выплата купонов по SU26238RMFS4 - ОФЗ 26238</t>
  </si>
  <si>
    <t>Выплата купонов по RU000A102H91 - Автодор3Р1</t>
  </si>
  <si>
    <t>Выплата дивидендов по IRAO - ИнтерРАОао</t>
  </si>
  <si>
    <t>Удержание налога по дивидендам по IRAO - ИнтерРАОао</t>
  </si>
  <si>
    <t>"ФСК - Россети" ПАО</t>
  </si>
  <si>
    <t>Выплата дивидендов по MOEX - МосБиржа</t>
  </si>
  <si>
    <t>Удержание налога по дивидендам по MOEX - МосБиржа</t>
  </si>
  <si>
    <t>Сегежа ао</t>
  </si>
  <si>
    <t>Выплата дивидендов по HYDR - РусГидро</t>
  </si>
  <si>
    <t>Удержание налога по дивидендам по HYDR - РусГидро</t>
  </si>
  <si>
    <t>Выплата купонов по RU000A103G00 - СТМ 1P2</t>
  </si>
  <si>
    <t>Выплата дивидендов по AFKS - Система ао</t>
  </si>
  <si>
    <t>Удержание налога по дивидендам по AFKS - Система ао</t>
  </si>
  <si>
    <t>Выплата дивидендов по SNGS - Сургнфгз</t>
  </si>
  <si>
    <t>Удержание налога по дивидендам по SNGS - Сургнфгз</t>
  </si>
  <si>
    <t>Выплата дивидендов по SNGSP - Сургнфгз-п</t>
  </si>
  <si>
    <t>Удержание налога по дивидендам по SNGSP - Сургнфгз-п</t>
  </si>
  <si>
    <t>ОФЗ-ПД 26243 19/05/38</t>
  </si>
  <si>
    <t>ВЭБ.РФ ПБО-002Р-31</t>
  </si>
  <si>
    <t>ПРОМОМЕД ДМ 001P-02</t>
  </si>
  <si>
    <t>Россельхозбанк БO-02-002P</t>
  </si>
  <si>
    <t>ХэндерсонБ01</t>
  </si>
  <si>
    <t>ОФЗ-ПД 26234 16/07/2025</t>
  </si>
  <si>
    <t>Выплата купонов по RU000A105V90 - ЕАБР3P-006</t>
  </si>
  <si>
    <t>Выплата купонов по RU000A1068R1 - РСХБ2Р2</t>
  </si>
  <si>
    <t>Частичное погашение облигаций по RU000A103Q08 - ХэндрснБ01</t>
  </si>
  <si>
    <t>Выплата купонов по RU000A103Q08 - ХэндрснБ01</t>
  </si>
  <si>
    <t>Мобильные ТелеСистемы ПАО ао</t>
  </si>
  <si>
    <t>Выплата купонов по SU26228RMFS5 - ОФЗ 26228</t>
  </si>
  <si>
    <t>ОФЗ-ПК 29024 18/04/35</t>
  </si>
  <si>
    <t>Выплата купонов по RU000A1042W6 - ВЭБP-31</t>
  </si>
  <si>
    <t>Выплата купонов по SU29024RMFS5 - ОФЗ 29024</t>
  </si>
  <si>
    <t>Юнипро ПАО ао</t>
  </si>
  <si>
    <t>Выплата купонов по SU52005RMFS4 - ОФЗ 52005</t>
  </si>
  <si>
    <t>Выплата купонов по RU000A105KR6 - ВСК 1P-03R</t>
  </si>
  <si>
    <t>АБЗ-1 001P-04</t>
  </si>
  <si>
    <t>Минфин Ульяновской обл. 35002</t>
  </si>
  <si>
    <t>Выплата купонов по SU26243RMFS4 - ОФЗ 26243</t>
  </si>
  <si>
    <t>Частичное погашение облигаций по RU000A102H91 - Автодор3Р1</t>
  </si>
  <si>
    <t>Выплата дивидендов по RTKM - Ростел -ао</t>
  </si>
  <si>
    <t>Удержание налога по дивидендам по RTKM - Ростел -ао</t>
  </si>
  <si>
    <t>Выплата купонов по RU000A101U61 - Ульоб35002</t>
  </si>
  <si>
    <t>ОФЗ-ПД 26241 17/11/32</t>
  </si>
  <si>
    <t>ОФЗ-ПД 26244 15/03/34</t>
  </si>
  <si>
    <t>Выплата купонов по SU26234RMFS3 - ОФЗ 26234</t>
  </si>
  <si>
    <t>Выплата купонов по RU000A1065B1 - АБЗ-1 1Р04</t>
  </si>
  <si>
    <t>Выплата купонов по RU000A103G91 - iПМЕДДМ1Р2</t>
  </si>
  <si>
    <t>Совкомфлот ао</t>
  </si>
  <si>
    <t>Частичное погашение облигаций по RU000A101GD3 - ГТЛК 1P-16</t>
  </si>
  <si>
    <t>ОФЗ-ПД 26218 17/09/31</t>
  </si>
  <si>
    <t>ОФЗ-ПД 26242 29/08/29</t>
  </si>
  <si>
    <t>"ХКФ Банк" ООО БО-04</t>
  </si>
  <si>
    <t>ЭнергоТехСервис 001Р-04</t>
  </si>
  <si>
    <t>Минфин Ульяновской обл. 34003</t>
  </si>
  <si>
    <t>РЖД БО 001Р-26R</t>
  </si>
  <si>
    <t>Частичное погашение облигаций по RU000A103828 - ЭТС 1Р04</t>
  </si>
  <si>
    <t>Выплата купонов по RU000A103828 - ЭТС 1Р04</t>
  </si>
  <si>
    <t>Выплата купонов по RU000A106K43 - РЖД 1Р-26R</t>
  </si>
  <si>
    <t>Выплата купонов по SU26244RMFS2 - ОФЗ 26244</t>
  </si>
  <si>
    <t>Выплата купонов по SU26218RMFS6 - ОФЗ 26218</t>
  </si>
  <si>
    <t>Выплата дивидендов по NVTK.IL - PAO NOVATEK</t>
  </si>
  <si>
    <t>Удержание налога по дивидендам по NVTK.IL - PAO NOVATEK</t>
  </si>
  <si>
    <t>Полное погашение облигаций по SU24021RMFS6 - ОФЗ 24021</t>
  </si>
  <si>
    <t>ГМК "Нор.Никель" ПАО ао</t>
  </si>
  <si>
    <t>Выплата купонов по RU000A102CX8 - Ульоб34003</t>
  </si>
  <si>
    <t>Частичное погашение облигаций по RU000A1043B8 - ТАЛАНФБ1P3</t>
  </si>
  <si>
    <t>Выплата купонов по SU26241RMFS8 - ОФЗ 26241</t>
  </si>
  <si>
    <t>ОФЗ-ПД 26239 23/07/2031</t>
  </si>
  <si>
    <t>Выплата купонов по RU000A103760 - ХКФБанкБ04</t>
  </si>
  <si>
    <t>Выплата дивидендов по MAGN - ММК</t>
  </si>
  <si>
    <t>Удержание налога по дивидендам по MAGN - ММК</t>
  </si>
  <si>
    <t>РУСАЛ ОК МКПАО ао</t>
  </si>
  <si>
    <t>АЛРОСА ПАО ао</t>
  </si>
  <si>
    <t>МосЭнерго акции обыкн.</t>
  </si>
  <si>
    <t>ИКС 5 ФИНАНС 003Р-02</t>
  </si>
  <si>
    <t>ХК Новотранс 001P-03</t>
  </si>
  <si>
    <t>ОФЗ-ИН 52002 02/02/28</t>
  </si>
  <si>
    <t>Частичное погашение облигаций по RU000A101U61 - Ульоб35002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</si>
  <si>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</si>
  <si>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</si>
  <si>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MSNG - +МосЭнерго</t>
  </si>
  <si>
    <t>Удержание налога по дивидендам по MSNG - +МосЭнерго</t>
  </si>
  <si>
    <t>Полное погашение облигаций по RU000A103G91 - iПМЕДДМ1Р2</t>
  </si>
  <si>
    <t>Удержание налога по дивидендам по MTSS - МТС-ао</t>
  </si>
  <si>
    <t>Выплата дивидендов по MTSS - МТС-ао</t>
  </si>
  <si>
    <t>Выплата купонов по RU000A1075S4 - ИКС5Фин3P2</t>
  </si>
  <si>
    <t>Выплата купонов по RU000A105CM4 - Новотр 1Р3</t>
  </si>
  <si>
    <t>Выплата купонов по SU26239RMFS2 - ОФЗ 26239</t>
  </si>
  <si>
    <t>Выплата купонов по SU52002RMFS1 - ОФЗ 52002</t>
  </si>
  <si>
    <t>Полное погашение облигаций по RU000A0JY031 - МФ МарЭл17</t>
  </si>
  <si>
    <t>Выплата купонов по SU26242RMFS6 - ОФЗ 26242</t>
  </si>
  <si>
    <t>ЕвроТранс БО-001Р-03</t>
  </si>
  <si>
    <t>ХК Новотранс 001P-05</t>
  </si>
  <si>
    <t>Газпром капитал ООО БО-001Р-06</t>
  </si>
  <si>
    <t>Полюс ПБО-03</t>
  </si>
  <si>
    <t>ГТЛК БО 001P-13</t>
  </si>
  <si>
    <t>ГТЛК БО 002P-02</t>
  </si>
  <si>
    <t>ГТЛК БО 001P-18</t>
  </si>
  <si>
    <t>АФК Система БО 001P-11</t>
  </si>
  <si>
    <t>АФК Система БО 001P-14</t>
  </si>
  <si>
    <t>Почта России БО-002P-01</t>
  </si>
  <si>
    <t>Выплата купонов по RU000A1061K1 - ЕвроТранс3</t>
  </si>
  <si>
    <t>ОФЗ-ПД 26247 11/05/39</t>
  </si>
  <si>
    <t>ОФЗ-ПД 26248 16/05/40</t>
  </si>
  <si>
    <t>Выплата дивидендов по RTKM - Публичное акционерное общество Ростелеком</t>
  </si>
  <si>
    <t>Удержание налога по дивидендам по RTKM - Публичное акционерное общество Ростелеком</t>
  </si>
  <si>
    <t>Выплата купонов по RU000A101XN7 - Систем1P14</t>
  </si>
  <si>
    <t>Международная компания ПАО ВК</t>
  </si>
  <si>
    <t>Выплата купонов по RU000A1003A4 - ГТЛК 1P-13</t>
  </si>
  <si>
    <t>Выплата дивидендов по ALRS - АЛРОСА ао</t>
  </si>
  <si>
    <t>Удержание налога по дивидендам по ALRS - АЛРОСА ао</t>
  </si>
  <si>
    <t>Выплата купонов по RU000A106AT1 - ГазпромКP6</t>
  </si>
  <si>
    <t>Выплата купонов по SU26247RMFS5 - ОФЗ 26247</t>
  </si>
  <si>
    <t>Выплата купонов по RU000A105KB0 - ГТЛК 2P-02</t>
  </si>
  <si>
    <t>Выплата купонов по SU26248RMFS3 - ОФЗ 26248</t>
  </si>
  <si>
    <t>Выплата купонов по RU000A104V75 - ПочтаР2P01</t>
  </si>
  <si>
    <t>Выплата купонов по RU000A101SC0 - ГТЛК 1P-18</t>
  </si>
  <si>
    <t>Выплата купонов по RU000A107W06 - Новотр 1Р5</t>
  </si>
  <si>
    <t>ПАО "Банк "Санкт-Петербург" ао</t>
  </si>
  <si>
    <t>ТКС Холдинг МКПАО ао</t>
  </si>
  <si>
    <t>Выплата дивидендов по PLZL - Публичное акционерное общество Полюс</t>
  </si>
  <si>
    <t>Удержание налога по дивидендам по PLZL - Публичное акционерное общество Полюс</t>
  </si>
  <si>
    <t>Восточная Стивидор.Ком 1P-04R</t>
  </si>
  <si>
    <t>РЖД ОАО БО 001Р-14R</t>
  </si>
  <si>
    <t>Газпром нефть БО 003Р-02R</t>
  </si>
  <si>
    <t>РЖД ОАО БО 001Р-13R</t>
  </si>
  <si>
    <t>ПАО НК Роснефть 002P-05</t>
  </si>
  <si>
    <t>ПАО НК Роснефть 002P-08</t>
  </si>
  <si>
    <t>Выплата купонов по RU000A100N12 - Систем1P11</t>
  </si>
  <si>
    <t>Частичное погашение облигаций по RU000A1065B1 - АБЗ-1 1Р04</t>
  </si>
  <si>
    <t>Выплата дивидендов по TATN - Татнфт 3ао</t>
  </si>
  <si>
    <t>Удержание налога по дивидендам по TATN - Татнфт 3ао</t>
  </si>
  <si>
    <t>Полное погашение облигаций по SU29006RMFS2 - ОФЗ 29006</t>
  </si>
  <si>
    <t>Выплата купонов по RU000A106P06 - ВСК 1P-04R</t>
  </si>
  <si>
    <t>ОФЗ-ПД 26246 12/03/36</t>
  </si>
  <si>
    <t>ОФЗ-ПД 26245 26/09/35</t>
  </si>
  <si>
    <t>Выплата купонов по RU000A105VC5 - Полюс Б1P3</t>
  </si>
  <si>
    <t>Выплата купонов по RU000A0ZYVU5 - Роснфт2P5</t>
  </si>
  <si>
    <t>ПАО "НЛМК" ао</t>
  </si>
  <si>
    <t>ВИС ФИНАНС БО-П01</t>
  </si>
  <si>
    <t>АФК "Система" ПАО БО-001P-06</t>
  </si>
  <si>
    <t>РЖД БО 001Р-24R</t>
  </si>
  <si>
    <t>ВЭБ.РФ ПБО-002Р-33</t>
  </si>
  <si>
    <t>Ростелеком ПАО 001P-02R</t>
  </si>
  <si>
    <t>Выплата купонов по RU000A1017J5 - Газпнф3P2R</t>
  </si>
  <si>
    <t>Выплата купонов по RU000A1007Z2 - РЖД 1Р-13R</t>
  </si>
  <si>
    <t>Полное погашение облигаций по RU000A103Q08 - ХэндрснБ01</t>
  </si>
  <si>
    <t>Выплата купонов по SU26246RMFS7 - ОФЗ 26246</t>
  </si>
  <si>
    <t>Выплата купонов по RU000A0JXN21 - СистемБ1P6</t>
  </si>
  <si>
    <t>Т-Технологии МКПАО ао</t>
  </si>
  <si>
    <t>РЖД БО 001P-33R</t>
  </si>
  <si>
    <t>РЖД БО 001P-28R</t>
  </si>
  <si>
    <t>Выплата купонов по SU26245RMFS9 - ОФЗ 26245</t>
  </si>
  <si>
    <t>Выплата купонов по RU000A106ZL5 - РЖД 1Р-28R</t>
  </si>
  <si>
    <t>Выплата купонов по RU000A102952 - ВИС Ф БП01</t>
  </si>
  <si>
    <t>Выплата купонов по RU000A0JXPN8 - Ростел1P2R</t>
  </si>
  <si>
    <t>ГК Самолет БО-П16</t>
  </si>
  <si>
    <t>Балтийский лизинг ООО БО-П15</t>
  </si>
  <si>
    <t>Селигдар 001Р-03</t>
  </si>
  <si>
    <t>АФК Система БО 001P-16</t>
  </si>
  <si>
    <t>Удержание налога по дивидендам по PLZL - Полюс</t>
  </si>
  <si>
    <t>Выплата дивидендов по PLZL - Полюс</t>
  </si>
  <si>
    <t>Полное погашение облигаций по RU000A100D89 - Беларусь07</t>
  </si>
  <si>
    <t>Выплата купонов по RU000A104SX0 - РЖД 1Р-24R</t>
  </si>
  <si>
    <t>Выплата купонов по RU000A109PF2 - РЖД 1Р-33R</t>
  </si>
  <si>
    <t>Выплата дивидендов по BSPB - БСП ао</t>
  </si>
  <si>
    <t>Удержание налога по дивидендам по BSPB - БСП ао</t>
  </si>
  <si>
    <t>Выплата купонов по RU000A1008D7 - РЖД 1Р-14R</t>
  </si>
  <si>
    <t>Выплата купонов по RU000A10B933 - Селигдар3Р</t>
  </si>
  <si>
    <t>Полное погашение облигаций по RU000A1043B8 - ТАЛАНФБ1P3</t>
  </si>
  <si>
    <t>Выплата дивидендов по T - Т-Техно ао</t>
  </si>
  <si>
    <t>Удержание налога по дивидендам по T - Т-Техно ао</t>
  </si>
  <si>
    <t>Выплата купонов по RU000A10BFX7 - СамолетP16</t>
  </si>
  <si>
    <t>Выплата купонов по RU000A10ATW2 - БалтЛизП15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</si>
  <si>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</si>
  <si>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</si>
  <si>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</si>
  <si>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</si>
  <si>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</si>
  <si>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</si>
  <si>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</si>
  <si>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</si>
  <si>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</si>
  <si>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</si>
  <si>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</si>
  <si>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IMOEX Всепогодный</t>
  </si>
  <si>
    <t>Купон</t>
  </si>
  <si>
    <t>МФ МарЭл17</t>
  </si>
  <si>
    <t>ОФЗ 24021</t>
  </si>
  <si>
    <t>Беларусь07</t>
  </si>
  <si>
    <t>ОФЗ 29006</t>
  </si>
  <si>
    <t>ТАЛАНФБ1P3</t>
  </si>
  <si>
    <t>ХэндрснБ01</t>
  </si>
  <si>
    <t>iПМЕДДМ1Р2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</si>
  <si>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</si>
  <si>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</si>
  <si>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</si>
  <si>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</si>
  <si>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</si>
  <si>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</si>
  <si>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</si>
  <si>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</si>
  <si>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</si>
  <si>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</si>
  <si>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</si>
  <si>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</si>
  <si>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</si>
  <si>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</si>
  <si>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</si>
  <si>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GLTR-гдр</t>
  </si>
  <si>
    <t>FIXP-гдр</t>
  </si>
  <si>
    <t>Сегежа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</si>
</sst>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0.3093</v>
      </c>
      <c r="L2" s="17" t="n">
        <v>238.54</v>
      </c>
      <c r="M2" s="17" t="n">
        <v>12.56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</v>
      </c>
      <c r="F3" s="6" t="n">
        <v>3185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0.0636</v>
      </c>
      <c r="L3" s="17" t="n">
        <v>3078.98</v>
      </c>
      <c r="M3" s="17" t="n">
        <v>4.31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1729.8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0.4045</v>
      </c>
      <c r="L4" s="17" t="n">
        <v>921.51</v>
      </c>
      <c r="M4" s="17" t="n">
        <v>3.9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30</v>
      </c>
      <c r="F5" s="6" t="n">
        <v>307.1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0.4277</v>
      </c>
      <c r="L5" s="17" t="n">
        <v>205.89</v>
      </c>
      <c r="M5" s="17" t="n">
        <v>2.08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-0.1055</v>
      </c>
      <c r="L6" s="17" t="n">
        <v>154.98</v>
      </c>
      <c r="M6" s="17" t="n">
        <v>1.76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656.5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0.4064</v>
      </c>
      <c r="L7" s="17" t="n">
        <v>557.39</v>
      </c>
      <c r="M7" s="17" t="n">
        <v>1.48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573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-0.2437</v>
      </c>
      <c r="L8" s="17" t="n">
        <v>796.06</v>
      </c>
      <c r="M8" s="17" t="n">
        <v>1.29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</v>
      </c>
      <c r="F9" s="6" t="n">
        <v>187.55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0.0609</v>
      </c>
      <c r="L9" s="17" t="n">
        <v>185.13</v>
      </c>
      <c r="M9" s="17" t="n">
        <v>1.27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51.66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0.4537</v>
      </c>
      <c r="L10" s="17" t="n">
        <v>33.42</v>
      </c>
      <c r="M10" s="17" t="n">
        <v>1.16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1400</v>
      </c>
      <c r="F11" s="6" t="n">
        <v>3.598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-0.0014</v>
      </c>
      <c r="L11" s="17" t="n">
        <v>3.92</v>
      </c>
      <c r="M11" s="17" t="n">
        <v>1.14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</v>
      </c>
      <c r="F12" s="6" t="n">
        <v>93.47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-0.0452</v>
      </c>
      <c r="L12" s="17" t="n">
        <v>98.15</v>
      </c>
      <c r="M12" s="17" t="n">
        <v>1.05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218.9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0.0238</v>
      </c>
      <c r="L13" s="17" t="n">
        <v>229.94</v>
      </c>
      <c r="M13" s="17" t="n">
        <v>0.99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60</v>
      </c>
      <c r="F14" s="6" t="n">
        <v>66.59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0.4227</v>
      </c>
      <c r="L14" s="17" t="n">
        <v>41.19</v>
      </c>
      <c r="M14" s="17" t="n">
        <v>0.9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372.19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0.3272</v>
      </c>
      <c r="L15" s="17" t="n">
        <v>307.03</v>
      </c>
      <c r="M15" s="17" t="n">
        <v>0.84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200</v>
      </c>
      <c r="F16" s="6" t="n">
        <v>16.018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0.113</v>
      </c>
      <c r="L16" s="17" t="n">
        <v>14.11</v>
      </c>
      <c r="M16" s="17" t="n">
        <v>0.72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50</v>
      </c>
      <c r="F17" s="6" t="n">
        <v>58.48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-0.0448</v>
      </c>
      <c r="L17" s="17" t="n">
        <v>69.38</v>
      </c>
      <c r="M17" s="17" t="n">
        <v>0.66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262.4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-0.0783</v>
      </c>
      <c r="L18" s="17" t="n">
        <v>284.65</v>
      </c>
      <c r="M18" s="17" t="n">
        <v>0.59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400</v>
      </c>
      <c r="F19" s="6" t="n">
        <v>6.258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-0.0512</v>
      </c>
      <c r="L19" s="17" t="n">
        <v>6.79</v>
      </c>
      <c r="M19" s="17" t="n">
        <v>0.56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100</v>
      </c>
      <c r="F20" s="6" t="n">
        <v>22.095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0.0294</v>
      </c>
      <c r="L20" s="17" t="n">
        <v>22.33</v>
      </c>
      <c r="M20" s="17" t="n">
        <v>0.5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1000</v>
      </c>
      <c r="F21" s="6" t="n">
        <v>2.1775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-0.2686</v>
      </c>
      <c r="L21" s="17" t="n">
        <v>3.14</v>
      </c>
      <c r="M21" s="17" t="n">
        <v>0.49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20</v>
      </c>
      <c r="F22" s="6" t="n">
        <v>105.68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-0.1977</v>
      </c>
      <c r="L22" s="17" t="n">
        <v>129.89</v>
      </c>
      <c r="M22" s="17" t="n">
        <v>0.48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76.65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-0.2835</v>
      </c>
      <c r="L23" s="17" t="n">
        <v>116.22</v>
      </c>
      <c r="M23" s="17" t="n">
        <v>0.35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1000</v>
      </c>
      <c r="F24" s="6" t="n">
        <v>1.551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-0.1977</v>
      </c>
      <c r="L24" s="17" t="n">
        <v>2.24</v>
      </c>
      <c r="M24" s="17" t="n">
        <v>0.35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20000</v>
      </c>
      <c r="F25" s="6" t="n">
        <v>0.06542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-0.2954</v>
      </c>
      <c r="L25" s="17" t="n">
        <v>0.11</v>
      </c>
      <c r="M25" s="17" t="n">
        <v>0.29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117.44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-0.2446</v>
      </c>
      <c r="L26" s="17" t="n">
        <v>155.41</v>
      </c>
      <c r="M26" s="17" t="n">
        <v>0.26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1113.4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0.1174</v>
      </c>
      <c r="L27" s="17" t="n">
        <v>1031.08</v>
      </c>
      <c r="M27" s="17" t="n">
        <v>0.25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30</v>
      </c>
      <c r="F28" s="6" t="n">
        <v>31.3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0.026</v>
      </c>
      <c r="L28" s="17" t="n">
        <v>33.98</v>
      </c>
      <c r="M28" s="17" t="n">
        <v>0.21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2000</v>
      </c>
      <c r="F29" s="6" t="n">
        <v>0.4596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-0.1789</v>
      </c>
      <c r="L29" s="17" t="n">
        <v>0.67</v>
      </c>
      <c r="M29" s="17" t="n">
        <v>0.21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20</v>
      </c>
      <c r="F30" s="6" t="n">
        <v>31.13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-0.1513</v>
      </c>
      <c r="L30" s="17" t="n">
        <v>36.2</v>
      </c>
      <c r="M30" s="17" t="n">
        <v>0.14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46.69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-0.3126</v>
      </c>
      <c r="L31" s="17" t="n">
        <v>70.72</v>
      </c>
      <c r="M31" s="17" t="n">
        <v>0.11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=J32/J113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20</v>
      </c>
      <c r="E33" s="7" t="n">
        <v>31</v>
      </c>
      <c r="F33" s="6" t="n">
        <v>55.132</v>
      </c>
      <c r="G33" s="17" t="n">
        <v>1000</v>
      </c>
      <c r="H33" s="6" t="n">
        <v>20.89</v>
      </c>
      <c r="I33" s="2" t="s">
        <v>98</v>
      </c>
      <c r="J33" s="6" t="s">
        <f>=E33*((F33/100*G33)*Портфель!$Q$13 + H33*Портфель!$Q$13) </f>
      </c>
      <c r="K33" s="9" t="n">
        <v>-0.012</v>
      </c>
      <c r="L33" s="17" t="n">
        <v>675.78</v>
      </c>
      <c r="M33" s="17" t="n">
        <v>4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96</v>
      </c>
      <c r="C34" s="2" t="s">
        <v>100</v>
      </c>
      <c r="D34" s="2" t="s">
        <v>20</v>
      </c>
      <c r="E34" s="7" t="n">
        <v>14</v>
      </c>
      <c r="F34" s="6" t="n">
        <v>105.603</v>
      </c>
      <c r="G34" s="17" t="n">
        <v>1000</v>
      </c>
      <c r="H34" s="6" t="n">
        <v>91.14</v>
      </c>
      <c r="I34" s="2" t="s">
        <v>101</v>
      </c>
      <c r="J34" s="6" t="s">
        <f>=E34*((F34/100*G34)*Портфель!$Q$13 + H34*Портфель!$Q$13) </f>
      </c>
      <c r="K34" s="9" t="n">
        <v>0.1496</v>
      </c>
      <c r="L34" s="17" t="n">
        <v>1081.19</v>
      </c>
      <c r="M34" s="17" t="n">
        <v>3.62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102</v>
      </c>
      <c r="B35" s="2" t="s">
        <v>96</v>
      </c>
      <c r="C35" s="2" t="s">
        <v>103</v>
      </c>
      <c r="D35" s="2" t="s">
        <v>20</v>
      </c>
      <c r="E35" s="7" t="n">
        <v>23</v>
      </c>
      <c r="F35" s="6" t="n">
        <v>54.323</v>
      </c>
      <c r="G35" s="17" t="n">
        <v>1000</v>
      </c>
      <c r="H35" s="6" t="n">
        <v>35.21</v>
      </c>
      <c r="I35" s="2" t="s">
        <v>104</v>
      </c>
      <c r="J35" s="6" t="s">
        <f>=E35*((F35/100*G35)*Портфель!$Q$13 + H35*Портфель!$Q$13) </f>
      </c>
      <c r="K35" s="9" t="n">
        <v>-0.0042</v>
      </c>
      <c r="L35" s="17" t="n">
        <v>667.14</v>
      </c>
      <c r="M35" s="17" t="n">
        <v>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105</v>
      </c>
      <c r="B36" s="2" t="s">
        <v>96</v>
      </c>
      <c r="C36" s="2" t="s">
        <v>106</v>
      </c>
      <c r="D36" s="2" t="s">
        <v>20</v>
      </c>
      <c r="E36" s="7" t="n">
        <v>11</v>
      </c>
      <c r="F36" s="6" t="n">
        <v>105.449</v>
      </c>
      <c r="G36" s="17" t="n">
        <v>1000</v>
      </c>
      <c r="H36" s="6" t="n">
        <v>12.31</v>
      </c>
      <c r="I36" s="2" t="s">
        <v>107</v>
      </c>
      <c r="J36" s="6" t="s">
        <f>=E36*((F36/100*G36)*Портфель!$Q$13 + H36*Портфель!$Q$13) </f>
      </c>
      <c r="K36" s="9" t="n">
        <v>0.1522</v>
      </c>
      <c r="L36" s="17" t="n">
        <v>1081.58</v>
      </c>
      <c r="M36" s="17" t="n">
        <v>2.64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108</v>
      </c>
      <c r="B37" s="2" t="s">
        <v>96</v>
      </c>
      <c r="C37" s="2" t="s">
        <v>109</v>
      </c>
      <c r="D37" s="2" t="s">
        <v>20</v>
      </c>
      <c r="E37" s="7" t="n">
        <v>19</v>
      </c>
      <c r="F37" s="6" t="n">
        <v>58.569</v>
      </c>
      <c r="G37" s="17" t="n">
        <v>1000</v>
      </c>
      <c r="H37" s="6" t="n">
        <v>21.29</v>
      </c>
      <c r="I37" s="2" t="s">
        <v>110</v>
      </c>
      <c r="J37" s="6" t="s">
        <f>=E37*((F37/100*G37)*Портфель!$Q$13 + H37*Портфель!$Q$13) </f>
      </c>
      <c r="K37" s="9" t="n">
        <v>0.0058</v>
      </c>
      <c r="L37" s="17" t="n">
        <v>705.6</v>
      </c>
      <c r="M37" s="17" t="n">
        <v>2.6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111</v>
      </c>
      <c r="B38" s="2" t="s">
        <v>96</v>
      </c>
      <c r="C38" s="2" t="s">
        <v>112</v>
      </c>
      <c r="D38" s="2" t="s">
        <v>20</v>
      </c>
      <c r="E38" s="7" t="n">
        <v>17</v>
      </c>
      <c r="F38" s="6" t="n">
        <v>59.595</v>
      </c>
      <c r="G38" s="17" t="n">
        <v>1000</v>
      </c>
      <c r="H38" s="6" t="n">
        <v>13.08</v>
      </c>
      <c r="I38" s="2" t="s">
        <v>113</v>
      </c>
      <c r="J38" s="6" t="s">
        <f>=E38*((F38/100*G38)*Портфель!$Q$13 + H38*Портфель!$Q$13) </f>
      </c>
      <c r="K38" s="9" t="n">
        <v>0.0029</v>
      </c>
      <c r="L38" s="17" t="n">
        <v>728.04</v>
      </c>
      <c r="M38" s="17" t="n">
        <v>2.33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114</v>
      </c>
      <c r="B39" s="2" t="s">
        <v>96</v>
      </c>
      <c r="C39" s="2" t="s">
        <v>115</v>
      </c>
      <c r="D39" s="2" t="s">
        <v>20</v>
      </c>
      <c r="E39" s="7" t="n">
        <v>13</v>
      </c>
      <c r="F39" s="6" t="n">
        <v>75.345</v>
      </c>
      <c r="G39" s="17" t="n">
        <v>1000</v>
      </c>
      <c r="H39" s="6" t="n">
        <v>10.06</v>
      </c>
      <c r="I39" s="2" t="s">
        <v>116</v>
      </c>
      <c r="J39" s="6" t="s">
        <f>=E39*((F39/100*G39)*Портфель!$Q$13 + H39*Портфель!$Q$13) </f>
      </c>
      <c r="K39" s="9" t="n">
        <v>0.0769</v>
      </c>
      <c r="L39" s="17" t="n">
        <v>790.44</v>
      </c>
      <c r="M39" s="17" t="n">
        <v>2.24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117</v>
      </c>
      <c r="B40" s="2" t="s">
        <v>96</v>
      </c>
      <c r="C40" s="2" t="s">
        <v>118</v>
      </c>
      <c r="D40" s="2" t="s">
        <v>20</v>
      </c>
      <c r="E40" s="7" t="n">
        <v>14</v>
      </c>
      <c r="F40" s="6" t="n">
        <v>65.94</v>
      </c>
      <c r="G40" s="17" t="n">
        <v>1000</v>
      </c>
      <c r="H40" s="6" t="n">
        <v>12.29</v>
      </c>
      <c r="I40" s="2" t="s">
        <v>119</v>
      </c>
      <c r="J40" s="6" t="s">
        <f>=E40*((F40/100*G40)*Портфель!$Q$13 + H40*Портфель!$Q$13) </f>
      </c>
      <c r="K40" s="9" t="n">
        <v>0.0416</v>
      </c>
      <c r="L40" s="17" t="n">
        <v>717.75</v>
      </c>
      <c r="M40" s="17" t="n">
        <v>2.12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120</v>
      </c>
      <c r="B41" s="2" t="s">
        <v>96</v>
      </c>
      <c r="C41" s="2" t="s">
        <v>121</v>
      </c>
      <c r="D41" s="2" t="s">
        <v>20</v>
      </c>
      <c r="E41" s="7" t="n">
        <v>12</v>
      </c>
      <c r="F41" s="6" t="n">
        <v>70.21</v>
      </c>
      <c r="G41" s="17" t="n">
        <v>1000</v>
      </c>
      <c r="H41" s="6" t="n">
        <v>48.6</v>
      </c>
      <c r="I41" s="2" t="s">
        <v>122</v>
      </c>
      <c r="J41" s="6" t="s">
        <f>=E41*((F41/100*G41)*Портфель!$Q$13 + H41*Портфель!$Q$13) </f>
      </c>
      <c r="K41" s="9" t="n">
        <v>0.0053</v>
      </c>
      <c r="L41" s="17" t="n">
        <v>830.23</v>
      </c>
      <c r="M41" s="17" t="n">
        <v>2.03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123</v>
      </c>
      <c r="B42" s="2" t="s">
        <v>96</v>
      </c>
      <c r="C42" s="2" t="s">
        <v>124</v>
      </c>
      <c r="D42" s="2" t="s">
        <v>20</v>
      </c>
      <c r="E42" s="7" t="n">
        <v>10</v>
      </c>
      <c r="F42" s="6" t="n">
        <v>76.04</v>
      </c>
      <c r="G42" s="17" t="n">
        <v>1000</v>
      </c>
      <c r="H42" s="6" t="n">
        <v>1.56</v>
      </c>
      <c r="I42" s="2" t="s">
        <v>125</v>
      </c>
      <c r="J42" s="6" t="s">
        <f>=E42*((F42/100*G42)*Портфель!$Q$13 + H42*Портфель!$Q$13) </f>
      </c>
      <c r="K42" s="9" t="n">
        <v>0.0691</v>
      </c>
      <c r="L42" s="17" t="n">
        <v>824.86</v>
      </c>
      <c r="M42" s="17" t="n">
        <v>1.72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126</v>
      </c>
      <c r="B43" s="2" t="s">
        <v>96</v>
      </c>
      <c r="C43" s="2" t="s">
        <v>127</v>
      </c>
      <c r="D43" s="2" t="s">
        <v>20</v>
      </c>
      <c r="E43" s="7" t="n">
        <v>10</v>
      </c>
      <c r="F43" s="6" t="n">
        <v>74.449</v>
      </c>
      <c r="G43" s="17" t="n">
        <v>1000</v>
      </c>
      <c r="H43" s="6" t="n">
        <v>16.07</v>
      </c>
      <c r="I43" s="2" t="s">
        <v>128</v>
      </c>
      <c r="J43" s="6" t="s">
        <f>=E43*((F43/100*G43)*Портфель!$Q$13 + H43*Портфель!$Q$13) </f>
      </c>
      <c r="K43" s="9" t="n">
        <v>0.1262</v>
      </c>
      <c r="L43" s="17" t="n">
        <v>762.99</v>
      </c>
      <c r="M43" s="17" t="n">
        <v>1.71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129</v>
      </c>
      <c r="B44" s="2" t="s">
        <v>96</v>
      </c>
      <c r="C44" s="2" t="s">
        <v>130</v>
      </c>
      <c r="D44" s="2" t="s">
        <v>20</v>
      </c>
      <c r="E44" s="7" t="n">
        <v>8</v>
      </c>
      <c r="F44" s="6" t="n">
        <v>82.599</v>
      </c>
      <c r="G44" s="17" t="n">
        <v>1000</v>
      </c>
      <c r="H44" s="6" t="n">
        <v>60.74</v>
      </c>
      <c r="I44" s="2" t="s">
        <v>131</v>
      </c>
      <c r="J44" s="6" t="s">
        <f>=E44*((F44/100*G44)*Портфель!$Q$13 + H44*Портфель!$Q$13) </f>
      </c>
      <c r="K44" s="9" t="n">
        <v>0.1012</v>
      </c>
      <c r="L44" s="17" t="n">
        <v>842.65</v>
      </c>
      <c r="M44" s="17" t="n">
        <v>1.6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132</v>
      </c>
      <c r="B45" s="2" t="s">
        <v>96</v>
      </c>
      <c r="C45" s="2" t="s">
        <v>133</v>
      </c>
      <c r="D45" s="2" t="s">
        <v>20</v>
      </c>
      <c r="E45" s="7" t="n">
        <v>10</v>
      </c>
      <c r="F45" s="6" t="n">
        <v>67.31</v>
      </c>
      <c r="G45" s="17" t="n">
        <v>1000</v>
      </c>
      <c r="H45" s="6" t="n">
        <v>13.08</v>
      </c>
      <c r="I45" s="2" t="s">
        <v>134</v>
      </c>
      <c r="J45" s="6" t="s">
        <f>=E45*((F45/100*G45)*Портфель!$Q$13 + H45*Портфель!$Q$13) </f>
      </c>
      <c r="K45" s="9" t="n">
        <v>0.0578</v>
      </c>
      <c r="L45" s="17" t="n">
        <v>718.57</v>
      </c>
      <c r="M45" s="17" t="n">
        <v>1.55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135</v>
      </c>
      <c r="B46" s="2" t="s">
        <v>96</v>
      </c>
      <c r="C46" s="2" t="s">
        <v>136</v>
      </c>
      <c r="D46" s="2" t="s">
        <v>20</v>
      </c>
      <c r="E46" s="7" t="n">
        <v>10</v>
      </c>
      <c r="F46" s="6" t="n">
        <v>62.747</v>
      </c>
      <c r="G46" s="17" t="n">
        <v>1000</v>
      </c>
      <c r="H46" s="6" t="n">
        <v>2.58</v>
      </c>
      <c r="I46" s="2" t="s">
        <v>137</v>
      </c>
      <c r="J46" s="6" t="s">
        <f>=E46*((F46/100*G46)*Портфель!$Q$13 + H46*Портфель!$Q$13) </f>
      </c>
      <c r="K46" s="9" t="n">
        <v>0.0032</v>
      </c>
      <c r="L46" s="17" t="n">
        <v>767.23</v>
      </c>
      <c r="M46" s="17" t="n">
        <v>1.42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138</v>
      </c>
      <c r="B47" s="2" t="s">
        <v>96</v>
      </c>
      <c r="C47" s="2" t="s">
        <v>139</v>
      </c>
      <c r="D47" s="2" t="s">
        <v>20</v>
      </c>
      <c r="E47" s="7" t="n">
        <v>7</v>
      </c>
      <c r="F47" s="6" t="n">
        <v>82.363</v>
      </c>
      <c r="G47" s="17" t="n">
        <v>1000</v>
      </c>
      <c r="H47" s="6" t="n">
        <v>21.27</v>
      </c>
      <c r="I47" s="2" t="s">
        <v>140</v>
      </c>
      <c r="J47" s="6" t="s">
        <f>=E47*((F47/100*G47)*Портфель!$Q$13 + H47*Портфель!$Q$13) </f>
      </c>
      <c r="K47" s="9" t="n">
        <v>0.0396</v>
      </c>
      <c r="L47" s="17" t="n">
        <v>941.89</v>
      </c>
      <c r="M47" s="17" t="n">
        <v>1.33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141</v>
      </c>
      <c r="B48" s="2" t="s">
        <v>96</v>
      </c>
      <c r="C48" s="2" t="s">
        <v>142</v>
      </c>
      <c r="D48" s="2" t="s">
        <v>20</v>
      </c>
      <c r="E48" s="7" t="n">
        <v>5</v>
      </c>
      <c r="F48" s="6" t="n">
        <v>104</v>
      </c>
      <c r="G48" s="17" t="n">
        <v>1000</v>
      </c>
      <c r="H48" s="6" t="n">
        <v>33.26</v>
      </c>
      <c r="I48" s="2" t="s">
        <v>143</v>
      </c>
      <c r="J48" s="6" t="s">
        <f>=E48*((F48/100*G48)*Портфель!$Q$13 + H48*Портфель!$Q$13) </f>
      </c>
      <c r="K48" s="9" t="n">
        <v>0.1442</v>
      </c>
      <c r="L48" s="17" t="n">
        <v>1078.46</v>
      </c>
      <c r="M48" s="17" t="n">
        <v>1.21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144</v>
      </c>
      <c r="B49" s="2" t="s">
        <v>96</v>
      </c>
      <c r="C49" s="2" t="s">
        <v>145</v>
      </c>
      <c r="D49" s="2" t="s">
        <v>20</v>
      </c>
      <c r="E49" s="7" t="n">
        <v>6</v>
      </c>
      <c r="F49" s="6" t="n">
        <v>82.75</v>
      </c>
      <c r="G49" s="17" t="n">
        <v>1000</v>
      </c>
      <c r="H49" s="6" t="n">
        <v>22.69</v>
      </c>
      <c r="I49" s="2" t="s">
        <v>146</v>
      </c>
      <c r="J49" s="6" t="s">
        <f>=E49*((F49/100*G49)*Портфель!$Q$13 + H49*Портфель!$Q$13) </f>
      </c>
      <c r="K49" s="9" t="n">
        <v>0.0463</v>
      </c>
      <c r="L49" s="17" t="n">
        <v>864.21</v>
      </c>
      <c r="M49" s="17" t="n">
        <v>1.15</v>
      </c>
      <c r="N49" s="2"/>
      <c r="O49" s="2"/>
      <c r="P49" s="17"/>
      <c r="Q49" s="17"/>
    </row>
    <row collapsed="false" customFormat="false" customHeight="false" hidden="false" ht="12.1" outlineLevel="0" r="50">
      <c r="A50" s="2" t="s">
        <v>147</v>
      </c>
      <c r="B50" s="2" t="s">
        <v>96</v>
      </c>
      <c r="C50" s="2" t="s">
        <v>148</v>
      </c>
      <c r="D50" s="2" t="s">
        <v>20</v>
      </c>
      <c r="E50" s="7" t="n">
        <v>6</v>
      </c>
      <c r="F50" s="6" t="n">
        <v>82.888</v>
      </c>
      <c r="G50" s="17" t="n">
        <v>1000</v>
      </c>
      <c r="H50" s="6" t="n">
        <v>2.01</v>
      </c>
      <c r="I50" s="2" t="s">
        <v>149</v>
      </c>
      <c r="J50" s="6" t="s">
        <f>=E50*((F50/100*G50)*Портфель!$Q$13 + H50*Портфель!$Q$13) </f>
      </c>
      <c r="K50" s="9" t="n">
        <v>0.1187</v>
      </c>
      <c r="L50" s="17" t="n">
        <v>843.68</v>
      </c>
      <c r="M50" s="17" t="n">
        <v>1.12</v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150</v>
      </c>
      <c r="B51" s="2" t="s">
        <v>96</v>
      </c>
      <c r="C51" s="2" t="s">
        <v>151</v>
      </c>
      <c r="D51" s="2" t="s">
        <v>20</v>
      </c>
      <c r="E51" s="7" t="n">
        <v>6</v>
      </c>
      <c r="F51" s="6" t="n">
        <v>66.199</v>
      </c>
      <c r="G51" s="17" t="n">
        <v>1206.55</v>
      </c>
      <c r="H51" s="6" t="n">
        <v>1.07</v>
      </c>
      <c r="I51" s="2" t="s">
        <v>152</v>
      </c>
      <c r="J51" s="6" t="s">
        <f>=E51*((F51/100*G51)*Портфель!$Q$13 + H51*Портфель!$Q$13) </f>
      </c>
      <c r="K51" s="9" t="n">
        <v>-0.0766</v>
      </c>
      <c r="L51" s="17" t="n">
        <v>994.22</v>
      </c>
      <c r="M51" s="17" t="n">
        <v>1.08</v>
      </c>
      <c r="N51" s="2"/>
      <c r="O51" s="2"/>
      <c r="P51" s="17"/>
      <c r="Q51" s="17"/>
    </row>
    <row collapsed="false" customFormat="false" customHeight="false" hidden="false" ht="12.1" outlineLevel="0" r="52">
      <c r="A52" s="2" t="s">
        <v>153</v>
      </c>
      <c r="B52" s="2" t="s">
        <v>96</v>
      </c>
      <c r="C52" s="2" t="s">
        <v>154</v>
      </c>
      <c r="D52" s="2" t="s">
        <v>20</v>
      </c>
      <c r="E52" s="7" t="n">
        <v>4</v>
      </c>
      <c r="F52" s="6" t="n">
        <v>68</v>
      </c>
      <c r="G52" s="17" t="n">
        <v>1406.43</v>
      </c>
      <c r="H52" s="6" t="n">
        <v>6.65</v>
      </c>
      <c r="I52" s="2" t="s">
        <v>155</v>
      </c>
      <c r="J52" s="6" t="s">
        <f>=E52*((F52/100*G52)*Портфель!$Q$13 + H52*Портфель!$Q$13) </f>
      </c>
      <c r="K52" s="9" t="n">
        <v>-0.0524</v>
      </c>
      <c r="L52" s="17" t="n">
        <v>1149.86</v>
      </c>
      <c r="M52" s="17" t="n">
        <v>0.87</v>
      </c>
      <c r="N52" s="2"/>
      <c r="O52" s="2"/>
      <c r="P52" s="17"/>
      <c r="Q52" s="17"/>
    </row>
    <row collapsed="false" customFormat="false" customHeight="false" hidden="false" ht="12.1" outlineLevel="0" r="53">
      <c r="A53" s="2" t="s">
        <v>156</v>
      </c>
      <c r="B53" s="2" t="s">
        <v>96</v>
      </c>
      <c r="C53" s="2" t="s">
        <v>157</v>
      </c>
      <c r="D53" s="2" t="s">
        <v>20</v>
      </c>
      <c r="E53" s="7" t="n">
        <v>4</v>
      </c>
      <c r="F53" s="6" t="n">
        <v>83.08</v>
      </c>
      <c r="G53" s="17" t="n">
        <v>1000</v>
      </c>
      <c r="H53" s="6" t="n">
        <v>18.08</v>
      </c>
      <c r="I53" s="2" t="s">
        <v>158</v>
      </c>
      <c r="J53" s="6" t="s">
        <f>=E53*((F53/100*G53)*Портфель!$Q$13 + H53*Портфель!$Q$13) </f>
      </c>
      <c r="K53" s="9" t="n">
        <v>0.0462</v>
      </c>
      <c r="L53" s="17" t="n">
        <v>858.59</v>
      </c>
      <c r="M53" s="17" t="n">
        <v>0.77</v>
      </c>
      <c r="N53" s="2"/>
      <c r="O53" s="2"/>
      <c r="P53" s="17"/>
      <c r="Q53" s="17"/>
    </row>
    <row collapsed="false" customFormat="false" customHeight="false" hidden="false" ht="12.1" outlineLevel="0" r="54">
      <c r="A54" s="2" t="s">
        <v>159</v>
      </c>
      <c r="B54" s="2" t="s">
        <v>96</v>
      </c>
      <c r="C54" s="2" t="s">
        <v>160</v>
      </c>
      <c r="D54" s="2" t="s">
        <v>20</v>
      </c>
      <c r="E54" s="7" t="n">
        <v>4</v>
      </c>
      <c r="F54" s="6" t="n">
        <v>81.96</v>
      </c>
      <c r="G54" s="17" t="n">
        <v>1000</v>
      </c>
      <c r="H54" s="6" t="n">
        <v>22.19</v>
      </c>
      <c r="I54" s="2" t="s">
        <v>161</v>
      </c>
      <c r="J54" s="6" t="s">
        <f>=E54*((F54/100*G54)*Портфель!$Q$13 + H54*Портфель!$Q$13) </f>
      </c>
      <c r="K54" s="9" t="n">
        <v>0.1203</v>
      </c>
      <c r="L54" s="17" t="n">
        <v>833.89</v>
      </c>
      <c r="M54" s="17" t="n">
        <v>0.76</v>
      </c>
      <c r="N54" s="2"/>
      <c r="O54" s="2"/>
      <c r="P54" s="17"/>
      <c r="Q54" s="17"/>
    </row>
    <row collapsed="false" customFormat="false" customHeight="false" hidden="false" ht="12.1" outlineLevel="0" r="55">
      <c r="A55" s="2" t="s">
        <v>162</v>
      </c>
      <c r="B55" s="2" t="s">
        <v>96</v>
      </c>
      <c r="C55" s="2" t="s">
        <v>163</v>
      </c>
      <c r="D55" s="2" t="s">
        <v>20</v>
      </c>
      <c r="E55" s="7" t="n">
        <v>4</v>
      </c>
      <c r="F55" s="6" t="n">
        <v>68.395</v>
      </c>
      <c r="G55" s="17" t="n">
        <v>1000</v>
      </c>
      <c r="H55" s="6" t="n">
        <v>23.63</v>
      </c>
      <c r="I55" s="2" t="s">
        <v>164</v>
      </c>
      <c r="J55" s="6" t="s">
        <f>=E55*((F55/100*G55)*Портфель!$Q$13 + H55*Портфель!$Q$13) </f>
      </c>
      <c r="K55" s="9" t="n">
        <v>0.2</v>
      </c>
      <c r="L55" s="17" t="n">
        <v>651.69</v>
      </c>
      <c r="M55" s="17" t="n">
        <v>0.64</v>
      </c>
      <c r="N55" s="2"/>
      <c r="O55" s="2"/>
      <c r="P55" s="17"/>
      <c r="Q55" s="17"/>
    </row>
    <row collapsed="false" customFormat="false" customHeight="false" hidden="false" ht="12.1" outlineLevel="0" r="56">
      <c r="A56" s="2" t="s">
        <v>165</v>
      </c>
      <c r="B56" s="2" t="s">
        <v>96</v>
      </c>
      <c r="C56" s="2" t="s">
        <v>166</v>
      </c>
      <c r="D56" s="2" t="s">
        <v>20</v>
      </c>
      <c r="E56" s="7" t="n">
        <v>3</v>
      </c>
      <c r="F56" s="6" t="n">
        <v>87.09</v>
      </c>
      <c r="G56" s="17" t="n">
        <v>1000</v>
      </c>
      <c r="H56" s="6" t="n">
        <v>40.44</v>
      </c>
      <c r="I56" s="2" t="s">
        <v>167</v>
      </c>
      <c r="J56" s="6" t="s">
        <f>=E56*((F56/100*G56)*Портфель!$Q$13 + H56*Портфель!$Q$13) </f>
      </c>
      <c r="K56" s="9" t="n">
        <v>0.1828</v>
      </c>
      <c r="L56" s="17" t="n">
        <v>830.07</v>
      </c>
      <c r="M56" s="17" t="n">
        <v>0.62</v>
      </c>
      <c r="N56" s="2"/>
      <c r="O56" s="2"/>
      <c r="P56" s="17"/>
      <c r="Q56" s="17"/>
    </row>
    <row collapsed="false" customFormat="false" customHeight="false" hidden="false" ht="12.1" outlineLevel="0" r="57">
      <c r="A57" s="2" t="s">
        <v>168</v>
      </c>
      <c r="B57" s="2" t="s">
        <v>96</v>
      </c>
      <c r="C57" s="2" t="s">
        <v>169</v>
      </c>
      <c r="D57" s="2" t="s">
        <v>20</v>
      </c>
      <c r="E57" s="7" t="n">
        <v>3</v>
      </c>
      <c r="F57" s="6" t="n">
        <v>87</v>
      </c>
      <c r="G57" s="17" t="n">
        <v>1000</v>
      </c>
      <c r="H57" s="6" t="n">
        <v>31.06</v>
      </c>
      <c r="I57" s="2" t="s">
        <v>170</v>
      </c>
      <c r="J57" s="6" t="s">
        <f>=E57*((F57/100*G57)*Портфель!$Q$13 + H57*Портфель!$Q$13) </f>
      </c>
      <c r="K57" s="9" t="n">
        <v>0.1315</v>
      </c>
      <c r="L57" s="17" t="n">
        <v>870.84</v>
      </c>
      <c r="M57" s="17" t="n">
        <v>0.61</v>
      </c>
      <c r="N57" s="2"/>
      <c r="O57" s="2"/>
      <c r="P57" s="17"/>
      <c r="Q57" s="17"/>
    </row>
    <row collapsed="false" customFormat="false" customHeight="false" hidden="false" ht="12.1" outlineLevel="0" r="58">
      <c r="A58" s="2" t="s">
        <v>171</v>
      </c>
      <c r="B58" s="2" t="s">
        <v>96</v>
      </c>
      <c r="C58" s="2" t="s">
        <v>172</v>
      </c>
      <c r="D58" s="2" t="s">
        <v>20</v>
      </c>
      <c r="E58" s="7" t="n">
        <v>2</v>
      </c>
      <c r="F58" s="6" t="n">
        <v>79.858</v>
      </c>
      <c r="G58" s="17" t="n">
        <v>1645.43</v>
      </c>
      <c r="H58" s="6" t="n">
        <v>13.3</v>
      </c>
      <c r="I58" s="2" t="s">
        <v>173</v>
      </c>
      <c r="J58" s="6" t="s">
        <f>=E58*((F58/100*G58)*Портфель!$Q$13 + H58*Портфель!$Q$13) </f>
      </c>
      <c r="K58" s="9" t="n">
        <v>0.0731</v>
      </c>
      <c r="L58" s="17" t="n">
        <v>1274.1</v>
      </c>
      <c r="M58" s="17" t="n">
        <v>0.6</v>
      </c>
      <c r="N58" s="2"/>
      <c r="O58" s="2"/>
      <c r="P58" s="17"/>
      <c r="Q58" s="17"/>
    </row>
    <row collapsed="false" customFormat="false" customHeight="false" hidden="false" ht="12.1" outlineLevel="0" r="59">
      <c r="A59" s="2" t="s">
        <v>174</v>
      </c>
      <c r="B59" s="2" t="s">
        <v>96</v>
      </c>
      <c r="C59" s="2" t="s">
        <v>175</v>
      </c>
      <c r="D59" s="2" t="s">
        <v>20</v>
      </c>
      <c r="E59" s="7" t="n">
        <v>3</v>
      </c>
      <c r="F59" s="6" t="n">
        <v>85.21</v>
      </c>
      <c r="G59" s="17" t="n">
        <v>1000</v>
      </c>
      <c r="H59" s="6" t="n">
        <v>1.92</v>
      </c>
      <c r="I59" s="2" t="s">
        <v>176</v>
      </c>
      <c r="J59" s="6" t="s">
        <f>=E59*((F59/100*G59)*Портфель!$Q$13 + H59*Портфель!$Q$13) </f>
      </c>
      <c r="K59" s="9" t="n">
        <v>0.1343</v>
      </c>
      <c r="L59" s="17" t="n">
        <v>808.15</v>
      </c>
      <c r="M59" s="17" t="n">
        <v>0.58</v>
      </c>
      <c r="N59" s="2"/>
      <c r="O59" s="2"/>
      <c r="P59" s="17"/>
      <c r="Q59" s="17"/>
    </row>
    <row collapsed="false" customFormat="false" customHeight="false" hidden="false" ht="12.1" outlineLevel="0" r="60">
      <c r="A60" s="2" t="s">
        <v>177</v>
      </c>
      <c r="B60" s="2" t="s">
        <v>96</v>
      </c>
      <c r="C60" s="2" t="s">
        <v>178</v>
      </c>
      <c r="D60" s="2" t="s">
        <v>20</v>
      </c>
      <c r="E60" s="7" t="n">
        <v>2</v>
      </c>
      <c r="F60" s="6" t="n">
        <v>98.266</v>
      </c>
      <c r="G60" s="17" t="n">
        <v>1000</v>
      </c>
      <c r="H60" s="6" t="n">
        <v>17.14</v>
      </c>
      <c r="I60" s="2" t="s">
        <v>179</v>
      </c>
      <c r="J60" s="6" t="s">
        <f>=E60*((F60/100*G60)*Портфель!$Q$13 + H60*Портфель!$Q$13) </f>
      </c>
      <c r="K60" s="9" t="n">
        <v>0.0974</v>
      </c>
      <c r="L60" s="17" t="n">
        <v>907.91</v>
      </c>
      <c r="M60" s="17" t="n">
        <v>0.45</v>
      </c>
      <c r="N60" s="2"/>
      <c r="O60" s="2"/>
      <c r="P60" s="17"/>
      <c r="Q60" s="17"/>
    </row>
    <row collapsed="false" customFormat="false" customHeight="false" hidden="false" ht="12.1" outlineLevel="0" r="61">
      <c r="A61" s="2" t="s">
        <v>180</v>
      </c>
      <c r="B61" s="2" t="s">
        <v>96</v>
      </c>
      <c r="C61" s="2" t="s">
        <v>181</v>
      </c>
      <c r="D61" s="2" t="s">
        <v>20</v>
      </c>
      <c r="E61" s="7" t="n">
        <v>2</v>
      </c>
      <c r="F61" s="6" t="n">
        <v>99.17</v>
      </c>
      <c r="G61" s="17" t="n">
        <v>1000</v>
      </c>
      <c r="H61" s="6" t="n">
        <v>5.45</v>
      </c>
      <c r="I61" s="2" t="s">
        <v>182</v>
      </c>
      <c r="J61" s="6" t="s">
        <f>=E61*((F61/100*G61)*Портфель!$Q$13 + H61*Портфель!$Q$13) </f>
      </c>
      <c r="K61" s="9" t="n">
        <v>0.1791</v>
      </c>
      <c r="L61" s="17" t="n">
        <v>1016.68</v>
      </c>
      <c r="M61" s="17" t="n">
        <v>0.45</v>
      </c>
      <c r="N61" s="2"/>
      <c r="O61" s="2"/>
      <c r="P61" s="17"/>
      <c r="Q61" s="17"/>
    </row>
    <row collapsed="false" customFormat="false" customHeight="false" hidden="false" ht="12.1" outlineLevel="0" r="62">
      <c r="A62" s="2" t="s">
        <v>183</v>
      </c>
      <c r="B62" s="2" t="s">
        <v>96</v>
      </c>
      <c r="C62" s="2" t="s">
        <v>184</v>
      </c>
      <c r="D62" s="2" t="s">
        <v>20</v>
      </c>
      <c r="E62" s="7" t="n">
        <v>2</v>
      </c>
      <c r="F62" s="6" t="n">
        <v>99.82</v>
      </c>
      <c r="G62" s="17" t="n">
        <v>1000</v>
      </c>
      <c r="H62" s="6" t="n">
        <v>1.22</v>
      </c>
      <c r="I62" s="2" t="s">
        <v>185</v>
      </c>
      <c r="J62" s="6" t="s">
        <f>=E62*((F62/100*G62)*Портфель!$Q$13 + H62*Портфель!$Q$13) </f>
      </c>
      <c r="K62" s="9" t="n">
        <v>0.1835</v>
      </c>
      <c r="L62" s="17" t="n">
        <v>1015.5</v>
      </c>
      <c r="M62" s="17" t="n">
        <v>0.45</v>
      </c>
      <c r="N62" s="2"/>
      <c r="O62" s="2"/>
      <c r="P62" s="17"/>
      <c r="Q62" s="17"/>
    </row>
    <row collapsed="false" customFormat="false" customHeight="false" hidden="false" ht="12.1" outlineLevel="0" r="63">
      <c r="A63" s="2" t="s">
        <v>186</v>
      </c>
      <c r="B63" s="2" t="s">
        <v>96</v>
      </c>
      <c r="C63" s="2" t="s">
        <v>187</v>
      </c>
      <c r="D63" s="2" t="s">
        <v>20</v>
      </c>
      <c r="E63" s="7" t="n">
        <v>2</v>
      </c>
      <c r="F63" s="6" t="n">
        <v>94.2</v>
      </c>
      <c r="G63" s="17" t="n">
        <v>1000</v>
      </c>
      <c r="H63" s="6" t="n">
        <v>32.48</v>
      </c>
      <c r="I63" s="2" t="s">
        <v>188</v>
      </c>
      <c r="J63" s="6" t="s">
        <f>=E63*((F63/100*G63)*Портфель!$Q$13 + H63*Портфель!$Q$13) </f>
      </c>
      <c r="K63" s="9" t="n">
        <v>0.0987</v>
      </c>
      <c r="L63" s="17" t="n">
        <v>917.97</v>
      </c>
      <c r="M63" s="17" t="n">
        <v>0.44</v>
      </c>
      <c r="N63" s="2"/>
      <c r="O63" s="2"/>
      <c r="P63" s="17"/>
      <c r="Q63" s="17"/>
    </row>
    <row collapsed="false" customFormat="false" customHeight="false" hidden="false" ht="12.1" outlineLevel="0" r="64">
      <c r="A64" s="2" t="s">
        <v>189</v>
      </c>
      <c r="B64" s="2" t="s">
        <v>96</v>
      </c>
      <c r="C64" s="2" t="s">
        <v>190</v>
      </c>
      <c r="D64" s="2" t="s">
        <v>20</v>
      </c>
      <c r="E64" s="7" t="n">
        <v>2</v>
      </c>
      <c r="F64" s="6" t="n">
        <v>92.29</v>
      </c>
      <c r="G64" s="17" t="n">
        <v>1000</v>
      </c>
      <c r="H64" s="6" t="n">
        <v>11.22</v>
      </c>
      <c r="I64" s="2" t="s">
        <v>191</v>
      </c>
      <c r="J64" s="6" t="s">
        <f>=E64*((F64/100*G64)*Портфель!$Q$13 + H64*Портфель!$Q$13) </f>
      </c>
      <c r="K64" s="9" t="n">
        <v>0.2144</v>
      </c>
      <c r="L64" s="17" t="n">
        <v>877.43</v>
      </c>
      <c r="M64" s="17" t="n">
        <v>0.42</v>
      </c>
      <c r="N64" s="2"/>
      <c r="O64" s="2"/>
      <c r="P64" s="17"/>
      <c r="Q64" s="17"/>
    </row>
    <row collapsed="false" customFormat="false" customHeight="false" hidden="false" ht="12.1" outlineLevel="0" r="65">
      <c r="A65" s="2" t="s">
        <v>192</v>
      </c>
      <c r="B65" s="2" t="s">
        <v>96</v>
      </c>
      <c r="C65" s="2" t="s">
        <v>193</v>
      </c>
      <c r="D65" s="2" t="s">
        <v>20</v>
      </c>
      <c r="E65" s="7" t="n">
        <v>2</v>
      </c>
      <c r="F65" s="6" t="n">
        <v>90.23</v>
      </c>
      <c r="G65" s="17" t="n">
        <v>1000</v>
      </c>
      <c r="H65" s="6" t="n">
        <v>0.22</v>
      </c>
      <c r="I65" s="2" t="s">
        <v>194</v>
      </c>
      <c r="J65" s="6" t="s">
        <f>=E65*((F65/100*G65)*Портфель!$Q$13 + H65*Портфель!$Q$13) </f>
      </c>
      <c r="K65" s="9" t="n">
        <v>0.1424</v>
      </c>
      <c r="L65" s="17" t="n">
        <v>845.51</v>
      </c>
      <c r="M65" s="17" t="n">
        <v>0.41</v>
      </c>
      <c r="N65" s="2"/>
      <c r="O65" s="2"/>
      <c r="P65" s="17"/>
      <c r="Q65" s="17"/>
    </row>
    <row collapsed="false" customFormat="false" customHeight="false" hidden="false" ht="12.1" outlineLevel="0" r="66">
      <c r="A66" s="2" t="s">
        <v>195</v>
      </c>
      <c r="B66" s="2" t="s">
        <v>96</v>
      </c>
      <c r="C66" s="2" t="s">
        <v>196</v>
      </c>
      <c r="D66" s="2" t="s">
        <v>20</v>
      </c>
      <c r="E66" s="7" t="n">
        <v>2</v>
      </c>
      <c r="F66" s="6" t="n">
        <v>84.74</v>
      </c>
      <c r="G66" s="17" t="n">
        <v>1000</v>
      </c>
      <c r="H66" s="6" t="n">
        <v>25.15</v>
      </c>
      <c r="I66" s="2" t="s">
        <v>197</v>
      </c>
      <c r="J66" s="6" t="s">
        <f>=E66*((F66/100*G66)*Портфель!$Q$13 + H66*Портфель!$Q$13) </f>
      </c>
      <c r="K66" s="9" t="n">
        <v>0.0574</v>
      </c>
      <c r="L66" s="17" t="n">
        <v>869.86</v>
      </c>
      <c r="M66" s="17" t="n">
        <v>0.39</v>
      </c>
      <c r="N66" s="2"/>
      <c r="O66" s="2"/>
      <c r="P66" s="17"/>
      <c r="Q66" s="17"/>
    </row>
    <row collapsed="false" customFormat="false" customHeight="false" hidden="false" ht="12.1" outlineLevel="0" r="67">
      <c r="A67" s="2" t="s">
        <v>198</v>
      </c>
      <c r="B67" s="2" t="s">
        <v>96</v>
      </c>
      <c r="C67" s="2" t="s">
        <v>199</v>
      </c>
      <c r="D67" s="2" t="s">
        <v>20</v>
      </c>
      <c r="E67" s="7" t="n">
        <v>2</v>
      </c>
      <c r="F67" s="6" t="n">
        <v>82.26</v>
      </c>
      <c r="G67" s="17" t="n">
        <v>1000</v>
      </c>
      <c r="H67" s="6" t="n">
        <v>17.7</v>
      </c>
      <c r="I67" s="2" t="s">
        <v>200</v>
      </c>
      <c r="J67" s="6" t="s">
        <f>=E67*((F67/100*G67)*Портфель!$Q$13 + H67*Портфель!$Q$13) </f>
      </c>
      <c r="K67" s="9" t="n">
        <v>0.0308</v>
      </c>
      <c r="L67" s="17" t="n">
        <v>860.31</v>
      </c>
      <c r="M67" s="17" t="n">
        <v>0.38</v>
      </c>
      <c r="N67" s="2"/>
      <c r="O67" s="2"/>
      <c r="P67" s="17"/>
      <c r="Q67" s="17"/>
    </row>
    <row collapsed="false" customFormat="false" customHeight="false" hidden="false" ht="12.1" outlineLevel="0" r="68">
      <c r="A68" s="2" t="s">
        <v>201</v>
      </c>
      <c r="B68" s="2" t="s">
        <v>96</v>
      </c>
      <c r="C68" s="2" t="s">
        <v>202</v>
      </c>
      <c r="D68" s="2" t="s">
        <v>20</v>
      </c>
      <c r="E68" s="7" t="n">
        <v>2</v>
      </c>
      <c r="F68" s="6" t="n">
        <v>80.82</v>
      </c>
      <c r="G68" s="17" t="n">
        <v>1000</v>
      </c>
      <c r="H68" s="6" t="n">
        <v>40.02</v>
      </c>
      <c r="I68" s="2" t="s">
        <v>203</v>
      </c>
      <c r="J68" s="6" t="s">
        <f>=E68*((F68/100*G68)*Портфель!$Q$13 + H68*Портфель!$Q$13) </f>
      </c>
      <c r="K68" s="9" t="n">
        <v>0.1046</v>
      </c>
      <c r="L68" s="17" t="n">
        <v>819.58</v>
      </c>
      <c r="M68" s="17" t="n">
        <v>0.38</v>
      </c>
      <c r="N68" s="2"/>
      <c r="O68" s="2"/>
      <c r="P68" s="17"/>
      <c r="Q68" s="17"/>
    </row>
    <row collapsed="false" customFormat="false" customHeight="false" hidden="false" ht="12.1" outlineLevel="0" r="69">
      <c r="A69" s="2" t="s">
        <v>204</v>
      </c>
      <c r="B69" s="2" t="s">
        <v>96</v>
      </c>
      <c r="C69" s="2" t="s">
        <v>205</v>
      </c>
      <c r="D69" s="2" t="s">
        <v>20</v>
      </c>
      <c r="E69" s="7" t="n">
        <v>2</v>
      </c>
      <c r="F69" s="6" t="n">
        <v>81.59</v>
      </c>
      <c r="G69" s="17" t="n">
        <v>1000</v>
      </c>
      <c r="H69" s="6" t="n">
        <v>6.23</v>
      </c>
      <c r="I69" s="2" t="s">
        <v>206</v>
      </c>
      <c r="J69" s="6" t="s">
        <f>=E69*((F69/100*G69)*Портфель!$Q$13 + H69*Портфель!$Q$13) </f>
      </c>
      <c r="K69" s="9" t="n">
        <v>0.0883</v>
      </c>
      <c r="L69" s="17" t="n">
        <v>799.69</v>
      </c>
      <c r="M69" s="17" t="n">
        <v>0.37</v>
      </c>
      <c r="N69" s="2"/>
      <c r="O69" s="2"/>
      <c r="P69" s="17"/>
      <c r="Q69" s="17"/>
    </row>
    <row collapsed="false" customFormat="false" customHeight="false" hidden="false" ht="12.1" outlineLevel="0" r="70">
      <c r="A70" s="2" t="s">
        <v>207</v>
      </c>
      <c r="B70" s="2" t="s">
        <v>96</v>
      </c>
      <c r="C70" s="2" t="s">
        <v>208</v>
      </c>
      <c r="D70" s="2" t="s">
        <v>20</v>
      </c>
      <c r="E70" s="7" t="n">
        <v>2</v>
      </c>
      <c r="F70" s="6" t="n">
        <v>79.25</v>
      </c>
      <c r="G70" s="17" t="n">
        <v>1000</v>
      </c>
      <c r="H70" s="6" t="n">
        <v>13.42</v>
      </c>
      <c r="I70" s="2" t="s">
        <v>209</v>
      </c>
      <c r="J70" s="6" t="s">
        <f>=E70*((F70/100*G70)*Портфель!$Q$13 + H70*Портфель!$Q$13) </f>
      </c>
      <c r="K70" s="9" t="n">
        <v>0.048</v>
      </c>
      <c r="L70" s="17" t="n">
        <v>783.8</v>
      </c>
      <c r="M70" s="17" t="n">
        <v>0.36</v>
      </c>
      <c r="N70" s="2"/>
      <c r="O70" s="2"/>
      <c r="P70" s="17"/>
      <c r="Q70" s="17"/>
    </row>
    <row collapsed="false" customFormat="false" customHeight="false" hidden="false" ht="12.1" outlineLevel="0" r="71">
      <c r="A71" s="2" t="s">
        <v>210</v>
      </c>
      <c r="B71" s="2" t="s">
        <v>96</v>
      </c>
      <c r="C71" s="2" t="s">
        <v>211</v>
      </c>
      <c r="D71" s="2" t="s">
        <v>20</v>
      </c>
      <c r="E71" s="7" t="n">
        <v>2</v>
      </c>
      <c r="F71" s="6" t="n">
        <v>74.59</v>
      </c>
      <c r="G71" s="17" t="n">
        <v>1000</v>
      </c>
      <c r="H71" s="6" t="n">
        <v>15.87</v>
      </c>
      <c r="I71" s="2" t="s">
        <v>212</v>
      </c>
      <c r="J71" s="6" t="s">
        <f>=E71*((F71/100*G71)*Портфель!$Q$13 + H71*Портфель!$Q$13) </f>
      </c>
      <c r="K71" s="9" t="n">
        <v>0.102</v>
      </c>
      <c r="L71" s="17" t="n">
        <v>708.92</v>
      </c>
      <c r="M71" s="17" t="n">
        <v>0.34</v>
      </c>
      <c r="N71" s="2"/>
      <c r="O71" s="2"/>
      <c r="P71" s="17"/>
      <c r="Q71" s="17"/>
    </row>
    <row collapsed="false" customFormat="false" customHeight="false" hidden="false" ht="12.1" outlineLevel="0" r="72">
      <c r="A72" s="2" t="s">
        <v>213</v>
      </c>
      <c r="B72" s="2" t="s">
        <v>96</v>
      </c>
      <c r="C72" s="2" t="s">
        <v>214</v>
      </c>
      <c r="D72" s="2" t="s">
        <v>20</v>
      </c>
      <c r="E72" s="7" t="n">
        <v>2</v>
      </c>
      <c r="F72" s="6" t="n">
        <v>88.44</v>
      </c>
      <c r="G72" s="17" t="n">
        <v>700</v>
      </c>
      <c r="H72" s="6" t="n">
        <v>20</v>
      </c>
      <c r="I72" s="2" t="s">
        <v>215</v>
      </c>
      <c r="J72" s="6" t="s">
        <f>=E72*((F72/100*G72)*Портфель!$Q$13 + H72*Портфель!$Q$13) </f>
      </c>
      <c r="K72" s="9" t="n">
        <v>0.1165</v>
      </c>
      <c r="L72" s="17" t="n">
        <v>906.54</v>
      </c>
      <c r="M72" s="17" t="n">
        <v>0.29</v>
      </c>
      <c r="N72" s="2"/>
      <c r="O72" s="2"/>
      <c r="P72" s="17"/>
      <c r="Q72" s="17"/>
    </row>
    <row collapsed="false" customFormat="false" customHeight="false" hidden="false" ht="12.1" outlineLevel="0" r="73">
      <c r="A73" s="2" t="s">
        <v>216</v>
      </c>
      <c r="B73" s="2" t="s">
        <v>96</v>
      </c>
      <c r="C73" s="2" t="s">
        <v>217</v>
      </c>
      <c r="D73" s="2" t="s">
        <v>20</v>
      </c>
      <c r="E73" s="7" t="n">
        <v>1</v>
      </c>
      <c r="F73" s="6" t="n">
        <v>103.96</v>
      </c>
      <c r="G73" s="17" t="n">
        <v>1000</v>
      </c>
      <c r="H73" s="6" t="n">
        <v>16.56</v>
      </c>
      <c r="I73" s="2" t="s">
        <v>218</v>
      </c>
      <c r="J73" s="6" t="s">
        <f>=E73*((F73/100*G73)*Портфель!$Q$13 + H73*Портфель!$Q$13) </f>
      </c>
      <c r="K73" s="9" t="n">
        <v>0.0421</v>
      </c>
      <c r="L73" s="17" t="n">
        <v>1032.56</v>
      </c>
      <c r="M73" s="17" t="n">
        <v>0.24</v>
      </c>
      <c r="N73" s="2"/>
      <c r="O73" s="2"/>
      <c r="P73" s="17"/>
      <c r="Q73" s="17"/>
    </row>
    <row collapsed="false" customFormat="false" customHeight="false" hidden="false" ht="12.1" outlineLevel="0" r="74">
      <c r="A74" s="2" t="s">
        <v>219</v>
      </c>
      <c r="B74" s="2" t="s">
        <v>96</v>
      </c>
      <c r="C74" s="2" t="s">
        <v>220</v>
      </c>
      <c r="D74" s="2" t="s">
        <v>20</v>
      </c>
      <c r="E74" s="7" t="n">
        <v>1</v>
      </c>
      <c r="F74" s="6" t="n">
        <v>102.98</v>
      </c>
      <c r="G74" s="17" t="n">
        <v>1000</v>
      </c>
      <c r="H74" s="6" t="n">
        <v>25.64</v>
      </c>
      <c r="I74" s="2" t="s">
        <v>221</v>
      </c>
      <c r="J74" s="6" t="s">
        <f>=E74*((F74/100*G74)*Портфель!$Q$13 + H74*Портфель!$Q$13) </f>
      </c>
      <c r="K74" s="9" t="n">
        <v>0.0493</v>
      </c>
      <c r="L74" s="17" t="n">
        <v>1102.66</v>
      </c>
      <c r="M74" s="17" t="n">
        <v>0.24</v>
      </c>
      <c r="N74" s="2"/>
      <c r="O74" s="2"/>
      <c r="P74" s="17"/>
      <c r="Q74" s="17"/>
    </row>
    <row collapsed="false" customFormat="false" customHeight="false" hidden="false" ht="12.1" outlineLevel="0" r="75">
      <c r="A75" s="2" t="s">
        <v>222</v>
      </c>
      <c r="B75" s="2" t="s">
        <v>96</v>
      </c>
      <c r="C75" s="2" t="s">
        <v>223</v>
      </c>
      <c r="D75" s="2" t="s">
        <v>20</v>
      </c>
      <c r="E75" s="7" t="n">
        <v>1</v>
      </c>
      <c r="F75" s="6" t="n">
        <v>104.7</v>
      </c>
      <c r="G75" s="17" t="n">
        <v>1000</v>
      </c>
      <c r="H75" s="6" t="n">
        <v>8.38</v>
      </c>
      <c r="I75" s="2" t="s">
        <v>224</v>
      </c>
      <c r="J75" s="6" t="s">
        <f>=E75*((F75/100*G75)*Портфель!$Q$13 + H75*Портфель!$Q$13) </f>
      </c>
      <c r="K75" s="9" t="n">
        <v>0.0299</v>
      </c>
      <c r="L75" s="17" t="n">
        <v>1045.7</v>
      </c>
      <c r="M75" s="17" t="n">
        <v>0.24</v>
      </c>
      <c r="N75" s="2"/>
      <c r="O75" s="2"/>
      <c r="P75" s="17"/>
      <c r="Q75" s="17"/>
    </row>
    <row collapsed="false" customFormat="false" customHeight="false" hidden="false" ht="12.1" outlineLevel="0" r="76">
      <c r="A76" s="2" t="s">
        <v>225</v>
      </c>
      <c r="B76" s="2" t="s">
        <v>96</v>
      </c>
      <c r="C76" s="2" t="s">
        <v>226</v>
      </c>
      <c r="D76" s="2" t="s">
        <v>20</v>
      </c>
      <c r="E76" s="7" t="n">
        <v>1</v>
      </c>
      <c r="F76" s="6" t="n">
        <v>102.58</v>
      </c>
      <c r="G76" s="17" t="n">
        <v>1000</v>
      </c>
      <c r="H76" s="6" t="n">
        <v>52.77</v>
      </c>
      <c r="I76" s="2" t="s">
        <v>227</v>
      </c>
      <c r="J76" s="6" t="s">
        <f>=E76*((F76/100*G76)*Портфель!$Q$13 + H76*Портфель!$Q$13) </f>
      </c>
      <c r="K76" s="9" t="n">
        <v>0.1316</v>
      </c>
      <c r="L76" s="17" t="n">
        <v>1068.61</v>
      </c>
      <c r="M76" s="17" t="n">
        <v>0.24</v>
      </c>
      <c r="N76" s="2"/>
      <c r="O76" s="2"/>
      <c r="P76" s="17"/>
      <c r="Q76" s="17"/>
    </row>
    <row collapsed="false" customFormat="false" customHeight="false" hidden="false" ht="12.1" outlineLevel="0" r="77">
      <c r="A77" s="2" t="s">
        <v>228</v>
      </c>
      <c r="B77" s="2" t="s">
        <v>96</v>
      </c>
      <c r="C77" s="2" t="s">
        <v>229</v>
      </c>
      <c r="D77" s="2" t="s">
        <v>20</v>
      </c>
      <c r="E77" s="7" t="n">
        <v>1</v>
      </c>
      <c r="F77" s="6" t="n">
        <v>100.3</v>
      </c>
      <c r="G77" s="17" t="n">
        <v>1000</v>
      </c>
      <c r="H77" s="6" t="n">
        <v>16.58</v>
      </c>
      <c r="I77" s="2" t="s">
        <v>230</v>
      </c>
      <c r="J77" s="6" t="s">
        <f>=E77*((F77/100*G77)*Портфель!$Q$13 + H77*Портфель!$Q$13) </f>
      </c>
      <c r="K77" s="9" t="n">
        <v>0.081</v>
      </c>
      <c r="L77" s="17" t="n">
        <v>981.05</v>
      </c>
      <c r="M77" s="17" t="n">
        <v>0.23</v>
      </c>
      <c r="N77" s="2"/>
      <c r="O77" s="2"/>
      <c r="P77" s="17"/>
      <c r="Q77" s="17"/>
    </row>
    <row collapsed="false" customFormat="false" customHeight="false" hidden="false" ht="12.1" outlineLevel="0" r="78">
      <c r="A78" s="2" t="s">
        <v>231</v>
      </c>
      <c r="B78" s="2" t="s">
        <v>96</v>
      </c>
      <c r="C78" s="2" t="s">
        <v>232</v>
      </c>
      <c r="D78" s="2" t="s">
        <v>20</v>
      </c>
      <c r="E78" s="7" t="n">
        <v>1</v>
      </c>
      <c r="F78" s="6" t="n">
        <v>103.47</v>
      </c>
      <c r="G78" s="17" t="n">
        <v>1000</v>
      </c>
      <c r="H78" s="6" t="n">
        <v>3.25</v>
      </c>
      <c r="I78" s="2" t="s">
        <v>233</v>
      </c>
      <c r="J78" s="6" t="s">
        <f>=E78*((F78/100*G78)*Портфель!$Q$13 + H78*Портфель!$Q$13) </f>
      </c>
      <c r="K78" s="9" t="n">
        <v>0.0351</v>
      </c>
      <c r="L78" s="17" t="n">
        <v>1022.21</v>
      </c>
      <c r="M78" s="17" t="n">
        <v>0.23</v>
      </c>
      <c r="N78" s="2"/>
      <c r="O78" s="2"/>
      <c r="P78" s="17"/>
      <c r="Q78" s="17"/>
    </row>
    <row collapsed="false" customFormat="false" customHeight="false" hidden="false" ht="12.1" outlineLevel="0" r="79">
      <c r="A79" s="2" t="s">
        <v>234</v>
      </c>
      <c r="B79" s="2" t="s">
        <v>96</v>
      </c>
      <c r="C79" s="2" t="s">
        <v>235</v>
      </c>
      <c r="D79" s="2" t="s">
        <v>20</v>
      </c>
      <c r="E79" s="7" t="n">
        <v>1</v>
      </c>
      <c r="F79" s="6" t="n">
        <v>98.4</v>
      </c>
      <c r="G79" s="17" t="n">
        <v>1000</v>
      </c>
      <c r="H79" s="6" t="n">
        <v>3.02</v>
      </c>
      <c r="I79" s="2" t="s">
        <v>236</v>
      </c>
      <c r="J79" s="6" t="s">
        <f>=E79*((F79/100*G79)*Портфель!$Q$13 + H79*Портфель!$Q$13) </f>
      </c>
      <c r="K79" s="9" t="n">
        <v>0.1836</v>
      </c>
      <c r="L79" s="17" t="n">
        <v>1022.03</v>
      </c>
      <c r="M79" s="17" t="n">
        <v>0.22</v>
      </c>
      <c r="N79" s="2"/>
      <c r="O79" s="2"/>
      <c r="P79" s="17"/>
      <c r="Q79" s="17"/>
    </row>
    <row collapsed="false" customFormat="false" customHeight="false" hidden="false" ht="12.1" outlineLevel="0" r="80">
      <c r="A80" s="2" t="s">
        <v>237</v>
      </c>
      <c r="B80" s="2" t="s">
        <v>96</v>
      </c>
      <c r="C80" s="2" t="s">
        <v>238</v>
      </c>
      <c r="D80" s="2" t="s">
        <v>20</v>
      </c>
      <c r="E80" s="7" t="n">
        <v>1</v>
      </c>
      <c r="F80" s="6" t="n">
        <v>97.26</v>
      </c>
      <c r="G80" s="17" t="n">
        <v>1000</v>
      </c>
      <c r="H80" s="6" t="n">
        <v>25.04</v>
      </c>
      <c r="I80" s="2" t="s">
        <v>239</v>
      </c>
      <c r="J80" s="6" t="s">
        <f>=E80*((F80/100*G80)*Портфель!$Q$13 + H80*Портфель!$Q$13) </f>
      </c>
      <c r="K80" s="9" t="n">
        <v>0.1756</v>
      </c>
      <c r="L80" s="17" t="n">
        <v>1013.35</v>
      </c>
      <c r="M80" s="17" t="n">
        <v>0.22</v>
      </c>
      <c r="N80" s="2"/>
      <c r="O80" s="2"/>
      <c r="P80" s="17"/>
      <c r="Q80" s="17"/>
    </row>
    <row collapsed="false" customFormat="false" customHeight="false" hidden="false" ht="12.1" outlineLevel="0" r="81">
      <c r="A81" s="2" t="s">
        <v>240</v>
      </c>
      <c r="B81" s="2" t="s">
        <v>96</v>
      </c>
      <c r="C81" s="2" t="s">
        <v>241</v>
      </c>
      <c r="D81" s="2" t="s">
        <v>20</v>
      </c>
      <c r="E81" s="7" t="n">
        <v>1</v>
      </c>
      <c r="F81" s="6" t="n">
        <v>93.61</v>
      </c>
      <c r="G81" s="17" t="n">
        <v>1000</v>
      </c>
      <c r="H81" s="6" t="n">
        <v>34.75</v>
      </c>
      <c r="I81" s="2" t="s">
        <v>242</v>
      </c>
      <c r="J81" s="6" t="s">
        <f>=E81*((F81/100*G81)*Портфель!$Q$13 + H81*Портфель!$Q$13) </f>
      </c>
      <c r="K81" s="9" t="n">
        <v>0.1488</v>
      </c>
      <c r="L81" s="17" t="n">
        <v>912.58</v>
      </c>
      <c r="M81" s="17" t="n">
        <v>0.22</v>
      </c>
      <c r="N81" s="2"/>
      <c r="O81" s="2"/>
      <c r="P81" s="17"/>
      <c r="Q81" s="17"/>
    </row>
    <row collapsed="false" customFormat="false" customHeight="false" hidden="false" ht="12.1" outlineLevel="0" r="82">
      <c r="A82" s="2" t="s">
        <v>243</v>
      </c>
      <c r="B82" s="2" t="s">
        <v>96</v>
      </c>
      <c r="C82" s="2" t="s">
        <v>244</v>
      </c>
      <c r="D82" s="2" t="s">
        <v>20</v>
      </c>
      <c r="E82" s="7" t="n">
        <v>1</v>
      </c>
      <c r="F82" s="6" t="n">
        <v>95.51</v>
      </c>
      <c r="G82" s="17" t="n">
        <v>1000</v>
      </c>
      <c r="H82" s="6" t="n">
        <v>10.89</v>
      </c>
      <c r="I82" s="2" t="s">
        <v>245</v>
      </c>
      <c r="J82" s="6" t="s">
        <f>=E82*((F82/100*G82)*Портфель!$Q$13 + H82*Портфель!$Q$13) </f>
      </c>
      <c r="K82" s="9" t="n">
        <v>0.0505</v>
      </c>
      <c r="L82" s="17" t="n">
        <v>957.5</v>
      </c>
      <c r="M82" s="17" t="n">
        <v>0.22</v>
      </c>
      <c r="N82" s="2"/>
      <c r="O82" s="2"/>
      <c r="P82" s="17"/>
      <c r="Q82" s="17"/>
    </row>
    <row collapsed="false" customFormat="false" customHeight="false" hidden="false" ht="12.1" outlineLevel="0" r="83">
      <c r="A83" s="2" t="s">
        <v>246</v>
      </c>
      <c r="B83" s="2" t="s">
        <v>96</v>
      </c>
      <c r="C83" s="2" t="s">
        <v>247</v>
      </c>
      <c r="D83" s="2" t="s">
        <v>20</v>
      </c>
      <c r="E83" s="7" t="n">
        <v>1</v>
      </c>
      <c r="F83" s="6" t="n">
        <v>94.829</v>
      </c>
      <c r="G83" s="17" t="n">
        <v>1000</v>
      </c>
      <c r="H83" s="6" t="n">
        <v>19.34</v>
      </c>
      <c r="I83" s="2" t="s">
        <v>248</v>
      </c>
      <c r="J83" s="6" t="s">
        <f>=E83*((F83/100*G83)*Портфель!$Q$13 + H83*Портфель!$Q$13) </f>
      </c>
      <c r="K83" s="9" t="n">
        <v>0.1797</v>
      </c>
      <c r="L83" s="17" t="n">
        <v>995.2</v>
      </c>
      <c r="M83" s="17" t="n">
        <v>0.22</v>
      </c>
      <c r="N83" s="2"/>
      <c r="O83" s="2"/>
      <c r="P83" s="17"/>
      <c r="Q83" s="17"/>
    </row>
    <row collapsed="false" customFormat="false" customHeight="false" hidden="false" ht="12.1" outlineLevel="0" r="84">
      <c r="A84" s="2" t="s">
        <v>249</v>
      </c>
      <c r="B84" s="2" t="s">
        <v>96</v>
      </c>
      <c r="C84" s="2" t="s">
        <v>250</v>
      </c>
      <c r="D84" s="2" t="s">
        <v>20</v>
      </c>
      <c r="E84" s="7" t="n">
        <v>1</v>
      </c>
      <c r="F84" s="6" t="n">
        <v>93.81</v>
      </c>
      <c r="G84" s="17" t="n">
        <v>1000</v>
      </c>
      <c r="H84" s="6" t="n">
        <v>30.91</v>
      </c>
      <c r="I84" s="2" t="s">
        <v>251</v>
      </c>
      <c r="J84" s="6" t="s">
        <f>=E84*((F84/100*G84)*Портфель!$Q$13 + H84*Портфель!$Q$13) </f>
      </c>
      <c r="K84" s="9" t="n">
        <v>0.0736</v>
      </c>
      <c r="L84" s="17" t="n">
        <v>1033.91</v>
      </c>
      <c r="M84" s="17" t="n">
        <v>0.22</v>
      </c>
      <c r="N84" s="2"/>
      <c r="O84" s="2"/>
      <c r="P84" s="17"/>
      <c r="Q84" s="17"/>
    </row>
    <row collapsed="false" customFormat="false" customHeight="false" hidden="false" ht="12.1" outlineLevel="0" r="85">
      <c r="A85" s="2" t="s">
        <v>252</v>
      </c>
      <c r="B85" s="2" t="s">
        <v>96</v>
      </c>
      <c r="C85" s="2" t="s">
        <v>253</v>
      </c>
      <c r="D85" s="2" t="s">
        <v>20</v>
      </c>
      <c r="E85" s="7" t="n">
        <v>1</v>
      </c>
      <c r="F85" s="6" t="n">
        <v>89.15</v>
      </c>
      <c r="G85" s="17" t="n">
        <v>1000</v>
      </c>
      <c r="H85" s="6" t="n">
        <v>35.6</v>
      </c>
      <c r="I85" s="2" t="s">
        <v>254</v>
      </c>
      <c r="J85" s="6" t="s">
        <f>=E85*((F85/100*G85)*Портфель!$Q$13 + H85*Портфель!$Q$13) </f>
      </c>
      <c r="K85" s="9" t="n">
        <v>0.0527</v>
      </c>
      <c r="L85" s="17" t="n">
        <v>1069.62</v>
      </c>
      <c r="M85" s="17" t="n">
        <v>0.21</v>
      </c>
      <c r="N85" s="2"/>
      <c r="O85" s="2"/>
      <c r="P85" s="17"/>
      <c r="Q85" s="17"/>
    </row>
    <row collapsed="false" customFormat="false" customHeight="false" hidden="false" ht="12.1" outlineLevel="0" r="86">
      <c r="A86" s="2" t="s">
        <v>255</v>
      </c>
      <c r="B86" s="2" t="s">
        <v>96</v>
      </c>
      <c r="C86" s="2" t="s">
        <v>256</v>
      </c>
      <c r="D86" s="2" t="s">
        <v>20</v>
      </c>
      <c r="E86" s="7" t="n">
        <v>1</v>
      </c>
      <c r="F86" s="6" t="n">
        <v>86.65</v>
      </c>
      <c r="G86" s="17" t="n">
        <v>1000</v>
      </c>
      <c r="H86" s="6" t="n">
        <v>55.79</v>
      </c>
      <c r="I86" s="2" t="s">
        <v>257</v>
      </c>
      <c r="J86" s="6" t="s">
        <f>=E86*((F86/100*G86)*Портфель!$Q$13 + H86*Портфель!$Q$13) </f>
      </c>
      <c r="K86" s="9" t="n">
        <v>0.0328</v>
      </c>
      <c r="L86" s="17" t="n">
        <v>1027.77</v>
      </c>
      <c r="M86" s="17" t="n">
        <v>0.21</v>
      </c>
      <c r="N86" s="2"/>
      <c r="O86" s="2"/>
      <c r="P86" s="17"/>
      <c r="Q86" s="17"/>
    </row>
    <row collapsed="false" customFormat="false" customHeight="false" hidden="false" ht="12.1" outlineLevel="0" r="87">
      <c r="A87" s="2" t="s">
        <v>258</v>
      </c>
      <c r="B87" s="2" t="s">
        <v>96</v>
      </c>
      <c r="C87" s="2" t="s">
        <v>259</v>
      </c>
      <c r="D87" s="2" t="s">
        <v>20</v>
      </c>
      <c r="E87" s="7" t="n">
        <v>1</v>
      </c>
      <c r="F87" s="6" t="n">
        <v>87.8</v>
      </c>
      <c r="G87" s="17" t="n">
        <v>1000</v>
      </c>
      <c r="H87" s="6" t="n">
        <v>38.56</v>
      </c>
      <c r="I87" s="2" t="s">
        <v>260</v>
      </c>
      <c r="J87" s="6" t="s">
        <f>=E87*((F87/100*G87)*Портфель!$Q$13 + H87*Портфель!$Q$13) </f>
      </c>
      <c r="K87" s="9" t="n">
        <v>0.0645</v>
      </c>
      <c r="L87" s="17" t="n">
        <v>861.06</v>
      </c>
      <c r="M87" s="17" t="n">
        <v>0.21</v>
      </c>
      <c r="N87" s="2"/>
      <c r="O87" s="2"/>
      <c r="P87" s="17"/>
      <c r="Q87" s="17"/>
    </row>
    <row collapsed="false" customFormat="false" customHeight="false" hidden="false" ht="12.1" outlineLevel="0" r="88">
      <c r="A88" s="2" t="s">
        <v>261</v>
      </c>
      <c r="B88" s="2" t="s">
        <v>96</v>
      </c>
      <c r="C88" s="2" t="s">
        <v>262</v>
      </c>
      <c r="D88" s="2" t="s">
        <v>20</v>
      </c>
      <c r="E88" s="7" t="n">
        <v>1</v>
      </c>
      <c r="F88" s="6" t="n">
        <v>88.4</v>
      </c>
      <c r="G88" s="17" t="n">
        <v>1000</v>
      </c>
      <c r="H88" s="6" t="n">
        <v>56.53</v>
      </c>
      <c r="I88" s="2" t="s">
        <v>263</v>
      </c>
      <c r="J88" s="6" t="s">
        <f>=E88*((F88/100*G88)*Портфель!$Q$13 + H88*Портфель!$Q$13) </f>
      </c>
      <c r="K88" s="9" t="n">
        <v>0.167</v>
      </c>
      <c r="L88" s="17" t="n">
        <v>860.66</v>
      </c>
      <c r="M88" s="17" t="n">
        <v>0.21</v>
      </c>
      <c r="N88" s="2"/>
      <c r="O88" s="2"/>
      <c r="P88" s="17"/>
      <c r="Q88" s="17"/>
    </row>
    <row collapsed="false" customFormat="false" customHeight="false" hidden="false" ht="12.1" outlineLevel="0" r="89">
      <c r="A89" s="2" t="s">
        <v>264</v>
      </c>
      <c r="B89" s="2" t="s">
        <v>96</v>
      </c>
      <c r="C89" s="2" t="s">
        <v>265</v>
      </c>
      <c r="D89" s="2" t="s">
        <v>20</v>
      </c>
      <c r="E89" s="7" t="n">
        <v>1</v>
      </c>
      <c r="F89" s="6" t="n">
        <v>89.21</v>
      </c>
      <c r="G89" s="17" t="n">
        <v>1000</v>
      </c>
      <c r="H89" s="6" t="n">
        <v>28.85</v>
      </c>
      <c r="I89" s="2" t="s">
        <v>266</v>
      </c>
      <c r="J89" s="6" t="s">
        <f>=E89*((F89/100*G89)*Портфель!$Q$13 + H89*Портфель!$Q$13) </f>
      </c>
      <c r="K89" s="9" t="n">
        <v>0.1703</v>
      </c>
      <c r="L89" s="17" t="n">
        <v>842.03</v>
      </c>
      <c r="M89" s="17" t="n">
        <v>0.21</v>
      </c>
      <c r="N89" s="2"/>
      <c r="O89" s="2"/>
      <c r="P89" s="17"/>
      <c r="Q89" s="17"/>
    </row>
    <row collapsed="false" customFormat="false" customHeight="false" hidden="false" ht="12.1" outlineLevel="0" r="90">
      <c r="A90" s="2" t="s">
        <v>267</v>
      </c>
      <c r="B90" s="2" t="s">
        <v>96</v>
      </c>
      <c r="C90" s="2" t="s">
        <v>268</v>
      </c>
      <c r="D90" s="2" t="s">
        <v>20</v>
      </c>
      <c r="E90" s="7" t="n">
        <v>1</v>
      </c>
      <c r="F90" s="6" t="n">
        <v>92.74</v>
      </c>
      <c r="G90" s="17" t="n">
        <v>1000</v>
      </c>
      <c r="H90" s="6" t="n">
        <v>10.41</v>
      </c>
      <c r="I90" s="2" t="s">
        <v>269</v>
      </c>
      <c r="J90" s="6" t="s">
        <f>=E90*((F90/100*G90)*Портфель!$Q$13 + H90*Портфель!$Q$13) </f>
      </c>
      <c r="K90" s="9" t="n">
        <v>0.0925</v>
      </c>
      <c r="L90" s="17" t="n">
        <v>916.86</v>
      </c>
      <c r="M90" s="17" t="n">
        <v>0.21</v>
      </c>
      <c r="N90" s="2"/>
      <c r="O90" s="2"/>
      <c r="P90" s="17"/>
      <c r="Q90" s="17"/>
    </row>
    <row collapsed="false" customFormat="false" customHeight="false" hidden="false" ht="12.1" outlineLevel="0" r="91">
      <c r="A91" s="2" t="s">
        <v>270</v>
      </c>
      <c r="B91" s="2" t="s">
        <v>96</v>
      </c>
      <c r="C91" s="2" t="s">
        <v>271</v>
      </c>
      <c r="D91" s="2" t="s">
        <v>20</v>
      </c>
      <c r="E91" s="7" t="n">
        <v>1</v>
      </c>
      <c r="F91" s="6" t="n">
        <v>87.35</v>
      </c>
      <c r="G91" s="17" t="n">
        <v>1000</v>
      </c>
      <c r="H91" s="6" t="n">
        <v>31.46</v>
      </c>
      <c r="I91" s="2" t="s">
        <v>272</v>
      </c>
      <c r="J91" s="6" t="s">
        <f>=E91*((F91/100*G91)*Портфель!$Q$13 + H91*Портфель!$Q$13) </f>
      </c>
      <c r="K91" s="9" t="n">
        <v>0.0494</v>
      </c>
      <c r="L91" s="17" t="n">
        <v>988.22</v>
      </c>
      <c r="M91" s="17" t="n">
        <v>0.2</v>
      </c>
      <c r="N91" s="2"/>
      <c r="O91" s="2"/>
      <c r="P91" s="17"/>
      <c r="Q91" s="17"/>
    </row>
    <row collapsed="false" customFormat="false" customHeight="false" hidden="false" ht="12.1" outlineLevel="0" r="92">
      <c r="A92" s="2" t="s">
        <v>273</v>
      </c>
      <c r="B92" s="2" t="s">
        <v>96</v>
      </c>
      <c r="C92" s="2" t="s">
        <v>274</v>
      </c>
      <c r="D92" s="2" t="s">
        <v>20</v>
      </c>
      <c r="E92" s="7" t="n">
        <v>1</v>
      </c>
      <c r="F92" s="6" t="n">
        <v>84.61</v>
      </c>
      <c r="G92" s="17" t="n">
        <v>1000</v>
      </c>
      <c r="H92" s="6" t="n">
        <v>36.49</v>
      </c>
      <c r="I92" s="2" t="s">
        <v>275</v>
      </c>
      <c r="J92" s="6" t="s">
        <f>=E92*((F92/100*G92)*Портфель!$Q$13 + H92*Портфель!$Q$13) </f>
      </c>
      <c r="K92" s="9" t="n">
        <v>-0.0652</v>
      </c>
      <c r="L92" s="17" t="n">
        <v>944.09</v>
      </c>
      <c r="M92" s="17" t="n">
        <v>0.2</v>
      </c>
      <c r="N92" s="2"/>
      <c r="O92" s="2"/>
      <c r="P92" s="17"/>
      <c r="Q92" s="17"/>
    </row>
    <row collapsed="false" customFormat="false" customHeight="false" hidden="false" ht="12.1" outlineLevel="0" r="93">
      <c r="A93" s="2" t="s">
        <v>276</v>
      </c>
      <c r="B93" s="2" t="s">
        <v>96</v>
      </c>
      <c r="C93" s="2" t="s">
        <v>277</v>
      </c>
      <c r="D93" s="2" t="s">
        <v>20</v>
      </c>
      <c r="E93" s="7" t="n">
        <v>1</v>
      </c>
      <c r="F93" s="6" t="n">
        <v>89.89</v>
      </c>
      <c r="G93" s="17" t="n">
        <v>1000</v>
      </c>
      <c r="H93" s="6" t="n">
        <v>1.09</v>
      </c>
      <c r="I93" s="2" t="s">
        <v>278</v>
      </c>
      <c r="J93" s="6" t="s">
        <f>=E93*((F93/100*G93)*Портфель!$Q$13 + H93*Портфель!$Q$13) </f>
      </c>
      <c r="K93" s="9" t="n">
        <v>0.0592</v>
      </c>
      <c r="L93" s="17" t="n">
        <v>1028.46</v>
      </c>
      <c r="M93" s="17" t="n">
        <v>0.2</v>
      </c>
      <c r="N93" s="2"/>
      <c r="O93" s="2"/>
      <c r="P93" s="17"/>
      <c r="Q93" s="17"/>
    </row>
    <row collapsed="false" customFormat="false" customHeight="false" hidden="false" ht="12.1" outlineLevel="0" r="94">
      <c r="A94" s="2" t="s">
        <v>279</v>
      </c>
      <c r="B94" s="2" t="s">
        <v>96</v>
      </c>
      <c r="C94" s="2" t="s">
        <v>280</v>
      </c>
      <c r="D94" s="2" t="s">
        <v>20</v>
      </c>
      <c r="E94" s="7" t="n">
        <v>1</v>
      </c>
      <c r="F94" s="6" t="n">
        <v>85.69</v>
      </c>
      <c r="G94" s="17" t="n">
        <v>1000</v>
      </c>
      <c r="H94" s="6" t="n">
        <v>16.67</v>
      </c>
      <c r="I94" s="2" t="s">
        <v>281</v>
      </c>
      <c r="J94" s="6" t="s">
        <f>=E94*((F94/100*G94)*Портфель!$Q$13 + H94*Портфель!$Q$13) </f>
      </c>
      <c r="K94" s="9" t="n">
        <v>0.0481</v>
      </c>
      <c r="L94" s="17" t="n">
        <v>957.61</v>
      </c>
      <c r="M94" s="17" t="n">
        <v>0.2</v>
      </c>
      <c r="N94" s="2"/>
      <c r="O94" s="2"/>
      <c r="P94" s="17"/>
      <c r="Q94" s="17"/>
    </row>
    <row collapsed="false" customFormat="false" customHeight="false" hidden="false" ht="12.1" outlineLevel="0" r="95">
      <c r="A95" s="2" t="s">
        <v>282</v>
      </c>
      <c r="B95" s="2" t="s">
        <v>96</v>
      </c>
      <c r="C95" s="2" t="s">
        <v>283</v>
      </c>
      <c r="D95" s="2" t="s">
        <v>20</v>
      </c>
      <c r="E95" s="7" t="n">
        <v>1</v>
      </c>
      <c r="F95" s="6" t="n">
        <v>84.75</v>
      </c>
      <c r="G95" s="17" t="n">
        <v>1000</v>
      </c>
      <c r="H95" s="6" t="n">
        <v>19.27</v>
      </c>
      <c r="I95" s="2" t="s">
        <v>284</v>
      </c>
      <c r="J95" s="6" t="s">
        <f>=E95*((F95/100*G95)*Портфель!$Q$13 + H95*Портфель!$Q$13) </f>
      </c>
      <c r="K95" s="9" t="n">
        <v>0.0292</v>
      </c>
      <c r="L95" s="17" t="n">
        <v>894.46</v>
      </c>
      <c r="M95" s="17" t="n">
        <v>0.2</v>
      </c>
      <c r="N95" s="2"/>
      <c r="O95" s="2"/>
      <c r="P95" s="17"/>
      <c r="Q95" s="17"/>
    </row>
    <row collapsed="false" customFormat="false" customHeight="false" hidden="false" ht="12.1" outlineLevel="0" r="96">
      <c r="A96" s="2" t="s">
        <v>285</v>
      </c>
      <c r="B96" s="2" t="s">
        <v>96</v>
      </c>
      <c r="C96" s="2" t="s">
        <v>286</v>
      </c>
      <c r="D96" s="2" t="s">
        <v>20</v>
      </c>
      <c r="E96" s="7" t="n">
        <v>1</v>
      </c>
      <c r="F96" s="6" t="n">
        <v>84.5</v>
      </c>
      <c r="G96" s="17" t="n">
        <v>1000</v>
      </c>
      <c r="H96" s="6" t="n">
        <v>4.1</v>
      </c>
      <c r="I96" s="2" t="s">
        <v>287</v>
      </c>
      <c r="J96" s="6" t="s">
        <f>=E96*((F96/100*G96)*Портфель!$Q$13 + H96*Портфель!$Q$13) </f>
      </c>
      <c r="K96" s="9" t="n">
        <v>0.0866</v>
      </c>
      <c r="L96" s="17" t="n">
        <v>878.93</v>
      </c>
      <c r="M96" s="17" t="n">
        <v>0.19</v>
      </c>
      <c r="N96" s="2"/>
      <c r="O96" s="2"/>
      <c r="P96" s="17"/>
      <c r="Q96" s="17"/>
    </row>
    <row collapsed="false" customFormat="false" customHeight="false" hidden="false" ht="12.1" outlineLevel="0" r="97">
      <c r="A97" s="2" t="s">
        <v>288</v>
      </c>
      <c r="B97" s="2" t="s">
        <v>96</v>
      </c>
      <c r="C97" s="2" t="s">
        <v>289</v>
      </c>
      <c r="D97" s="2" t="s">
        <v>20</v>
      </c>
      <c r="E97" s="7" t="n">
        <v>1</v>
      </c>
      <c r="F97" s="6" t="n">
        <v>94.11</v>
      </c>
      <c r="G97" s="17" t="n">
        <v>860</v>
      </c>
      <c r="H97" s="6" t="n">
        <v>27.83</v>
      </c>
      <c r="I97" s="2" t="s">
        <v>290</v>
      </c>
      <c r="J97" s="6" t="s">
        <f>=E97*((F97/100*G97)*Портфель!$Q$13 + H97*Портфель!$Q$13) </f>
      </c>
      <c r="K97" s="9" t="n">
        <v>0.0782</v>
      </c>
      <c r="L97" s="17" t="n">
        <v>901.24</v>
      </c>
      <c r="M97" s="17" t="n">
        <v>0.19</v>
      </c>
      <c r="N97" s="2"/>
      <c r="O97" s="2"/>
      <c r="P97" s="17"/>
      <c r="Q97" s="17"/>
    </row>
    <row collapsed="false" customFormat="false" customHeight="false" hidden="false" ht="12.1" outlineLevel="0" r="98">
      <c r="A98" s="2" t="s">
        <v>291</v>
      </c>
      <c r="B98" s="2" t="s">
        <v>96</v>
      </c>
      <c r="C98" s="2" t="s">
        <v>292</v>
      </c>
      <c r="D98" s="2" t="s">
        <v>20</v>
      </c>
      <c r="E98" s="7" t="n">
        <v>1</v>
      </c>
      <c r="F98" s="6" t="n">
        <v>84.32</v>
      </c>
      <c r="G98" s="17" t="n">
        <v>1000</v>
      </c>
      <c r="H98" s="6" t="n">
        <v>10.85</v>
      </c>
      <c r="I98" s="2" t="s">
        <v>293</v>
      </c>
      <c r="J98" s="6" t="s">
        <f>=E98*((F98/100*G98)*Портфель!$Q$13 + H98*Портфель!$Q$13) </f>
      </c>
      <c r="K98" s="9" t="n">
        <v>0.0486</v>
      </c>
      <c r="L98" s="17" t="n">
        <v>1028.37</v>
      </c>
      <c r="M98" s="17" t="n">
        <v>0.19</v>
      </c>
      <c r="N98" s="2"/>
      <c r="O98" s="2"/>
      <c r="P98" s="17"/>
      <c r="Q98" s="17"/>
    </row>
    <row collapsed="false" customFormat="false" customHeight="false" hidden="false" ht="12.1" outlineLevel="0" r="99">
      <c r="A99" s="2" t="s">
        <v>294</v>
      </c>
      <c r="B99" s="2" t="s">
        <v>96</v>
      </c>
      <c r="C99" s="2" t="s">
        <v>295</v>
      </c>
      <c r="D99" s="2" t="s">
        <v>20</v>
      </c>
      <c r="E99" s="7" t="n">
        <v>1</v>
      </c>
      <c r="F99" s="6" t="n">
        <v>82.44</v>
      </c>
      <c r="G99" s="17" t="n">
        <v>1000</v>
      </c>
      <c r="H99" s="6" t="n">
        <v>13.81</v>
      </c>
      <c r="I99" s="2" t="s">
        <v>296</v>
      </c>
      <c r="J99" s="6" t="s">
        <f>=E99*((F99/100*G99)*Портфель!$Q$13 + H99*Портфель!$Q$13) </f>
      </c>
      <c r="K99" s="9" t="n">
        <v>0.1198</v>
      </c>
      <c r="L99" s="17" t="n">
        <v>823.95</v>
      </c>
      <c r="M99" s="17" t="n">
        <v>0.19</v>
      </c>
      <c r="N99" s="2"/>
      <c r="O99" s="2"/>
      <c r="P99" s="17"/>
      <c r="Q99" s="17"/>
    </row>
    <row collapsed="false" customFormat="false" customHeight="false" hidden="false" ht="12.1" outlineLevel="0" r="100">
      <c r="A100" s="2" t="s">
        <v>297</v>
      </c>
      <c r="B100" s="2" t="s">
        <v>96</v>
      </c>
      <c r="C100" s="2" t="s">
        <v>298</v>
      </c>
      <c r="D100" s="2" t="s">
        <v>20</v>
      </c>
      <c r="E100" s="7" t="n">
        <v>1</v>
      </c>
      <c r="F100" s="6" t="n">
        <v>84.55</v>
      </c>
      <c r="G100" s="17" t="n">
        <v>1000</v>
      </c>
      <c r="H100" s="6" t="n">
        <v>8.39</v>
      </c>
      <c r="I100" s="2" t="s">
        <v>299</v>
      </c>
      <c r="J100" s="6" t="s">
        <f>=E100*((F100/100*G100)*Портфель!$Q$13 + H100*Портфель!$Q$13) </f>
      </c>
      <c r="K100" s="9" t="n">
        <v>0.1685</v>
      </c>
      <c r="L100" s="17" t="n">
        <v>798.02</v>
      </c>
      <c r="M100" s="17" t="n">
        <v>0.19</v>
      </c>
      <c r="N100" s="2"/>
      <c r="O100" s="2"/>
      <c r="P100" s="17"/>
      <c r="Q100" s="17"/>
    </row>
    <row collapsed="false" customFormat="false" customHeight="false" hidden="false" ht="12.1" outlineLevel="0" r="101">
      <c r="A101" s="2" t="s">
        <v>300</v>
      </c>
      <c r="B101" s="2" t="s">
        <v>96</v>
      </c>
      <c r="C101" s="2" t="s">
        <v>301</v>
      </c>
      <c r="D101" s="2" t="s">
        <v>20</v>
      </c>
      <c r="E101" s="7" t="n">
        <v>1</v>
      </c>
      <c r="F101" s="6" t="n">
        <v>80.97</v>
      </c>
      <c r="G101" s="17" t="n">
        <v>1000</v>
      </c>
      <c r="H101" s="6" t="n">
        <v>0.28</v>
      </c>
      <c r="I101" s="2" t="s">
        <v>302</v>
      </c>
      <c r="J101" s="6" t="s">
        <f>=E101*((F101/100*G101)*Портфель!$Q$13 + H101*Портфель!$Q$13) </f>
      </c>
      <c r="K101" s="9" t="n">
        <v>-0.0263</v>
      </c>
      <c r="L101" s="17" t="n">
        <v>831.81</v>
      </c>
      <c r="M101" s="17" t="n">
        <v>0.18</v>
      </c>
      <c r="N101" s="2"/>
      <c r="O101" s="2"/>
      <c r="P101" s="17"/>
      <c r="Q101" s="17"/>
    </row>
    <row collapsed="false" customFormat="false" customHeight="false" hidden="false" ht="12.1" outlineLevel="0" r="102">
      <c r="A102" s="2" t="s">
        <v>303</v>
      </c>
      <c r="B102" s="2" t="s">
        <v>96</v>
      </c>
      <c r="C102" s="2" t="s">
        <v>304</v>
      </c>
      <c r="D102" s="2" t="s">
        <v>20</v>
      </c>
      <c r="E102" s="7" t="n">
        <v>1</v>
      </c>
      <c r="F102" s="6" t="n">
        <v>79.74</v>
      </c>
      <c r="G102" s="17" t="n">
        <v>1000</v>
      </c>
      <c r="H102" s="6" t="n">
        <v>19.33</v>
      </c>
      <c r="I102" s="2" t="s">
        <v>305</v>
      </c>
      <c r="J102" s="6" t="s">
        <f>=E102*((F102/100*G102)*Портфель!$Q$13 + H102*Портфель!$Q$13) </f>
      </c>
      <c r="K102" s="9" t="n">
        <v>0.1664</v>
      </c>
      <c r="L102" s="17" t="n">
        <v>737.17</v>
      </c>
      <c r="M102" s="17" t="n">
        <v>0.18</v>
      </c>
      <c r="N102" s="2"/>
      <c r="O102" s="2"/>
      <c r="P102" s="17"/>
      <c r="Q102" s="17"/>
    </row>
    <row collapsed="false" customFormat="false" customHeight="false" hidden="false" ht="12.1" outlineLevel="0" r="103">
      <c r="A103" s="2" t="s">
        <v>306</v>
      </c>
      <c r="B103" s="2" t="s">
        <v>96</v>
      </c>
      <c r="C103" s="2" t="s">
        <v>307</v>
      </c>
      <c r="D103" s="2" t="s">
        <v>20</v>
      </c>
      <c r="E103" s="7" t="n">
        <v>1</v>
      </c>
      <c r="F103" s="6" t="n">
        <v>80</v>
      </c>
      <c r="G103" s="17" t="n">
        <v>1000</v>
      </c>
      <c r="H103" s="6" t="n">
        <v>19.65</v>
      </c>
      <c r="I103" s="2" t="s">
        <v>305</v>
      </c>
      <c r="J103" s="6" t="s">
        <f>=E103*((F103/100*G103)*Портфель!$Q$13 + H103*Портфель!$Q$13) </f>
      </c>
      <c r="K103" s="9" t="n">
        <v>0.0479</v>
      </c>
      <c r="L103" s="17" t="n">
        <v>913.22</v>
      </c>
      <c r="M103" s="17" t="n">
        <v>0.18</v>
      </c>
      <c r="N103" s="2"/>
      <c r="O103" s="2"/>
      <c r="P103" s="17"/>
      <c r="Q103" s="17"/>
    </row>
    <row collapsed="false" customFormat="false" customHeight="false" hidden="false" ht="12.1" outlineLevel="0" r="104">
      <c r="A104" s="2" t="s">
        <v>308</v>
      </c>
      <c r="B104" s="2" t="s">
        <v>96</v>
      </c>
      <c r="C104" s="2" t="s">
        <v>309</v>
      </c>
      <c r="D104" s="2" t="s">
        <v>20</v>
      </c>
      <c r="E104" s="7" t="n">
        <v>1</v>
      </c>
      <c r="F104" s="6" t="n">
        <v>92.8</v>
      </c>
      <c r="G104" s="17" t="n">
        <v>670</v>
      </c>
      <c r="H104" s="6" t="n">
        <v>10.6</v>
      </c>
      <c r="I104" s="2" t="s">
        <v>310</v>
      </c>
      <c r="J104" s="6" t="s">
        <f>=E104*((F104/100*G104)*Портфель!$Q$13 + H104*Портфель!$Q$13) </f>
      </c>
      <c r="K104" s="9" t="n">
        <v>0.1281</v>
      </c>
      <c r="L104" s="17" t="n">
        <v>995.68</v>
      </c>
      <c r="M104" s="17" t="n">
        <v>0.14</v>
      </c>
      <c r="N104" s="2"/>
      <c r="O104" s="2"/>
      <c r="P104" s="17"/>
      <c r="Q104" s="17"/>
    </row>
    <row collapsed="false" customFormat="false" customHeight="false" hidden="false" ht="12.1" outlineLevel="0" r="105">
      <c r="A105" s="2" t="s">
        <v>311</v>
      </c>
      <c r="B105" s="2" t="s">
        <v>96</v>
      </c>
      <c r="C105" s="2" t="s">
        <v>312</v>
      </c>
      <c r="D105" s="2" t="s">
        <v>20</v>
      </c>
      <c r="E105" s="7" t="n">
        <v>1</v>
      </c>
      <c r="F105" s="6" t="n">
        <v>81.9</v>
      </c>
      <c r="G105" s="17" t="n">
        <v>375</v>
      </c>
      <c r="H105" s="6" t="n">
        <v>0.86</v>
      </c>
      <c r="I105" s="2" t="s">
        <v>313</v>
      </c>
      <c r="J105" s="6" t="s">
        <f>=E105*((F105/100*G105)*Портфель!$Q$13 + H105*Портфель!$Q$13) </f>
      </c>
      <c r="K105" s="9" t="n">
        <v>0.0778</v>
      </c>
      <c r="L105" s="17" t="n">
        <v>566.27</v>
      </c>
      <c r="M105" s="17" t="n">
        <v>0.07</v>
      </c>
      <c r="N105" s="2"/>
      <c r="O105" s="2"/>
      <c r="P105" s="17"/>
      <c r="Q105" s="17"/>
    </row>
    <row collapsed="false" customFormat="false" customHeight="false" hidden="false" ht="12.1" outlineLevel="0" r="106">
      <c r="A106" s="2" t="s">
        <v>314</v>
      </c>
      <c r="B106" s="2" t="s">
        <v>96</v>
      </c>
      <c r="C106" s="2" t="s">
        <v>315</v>
      </c>
      <c r="D106" s="2" t="s">
        <v>20</v>
      </c>
      <c r="E106" s="7" t="n">
        <v>1</v>
      </c>
      <c r="F106" s="6" t="n">
        <v>94.24</v>
      </c>
      <c r="G106" s="17" t="n">
        <v>300</v>
      </c>
      <c r="H106" s="6" t="n">
        <v>1.03</v>
      </c>
      <c r="I106" s="2" t="s">
        <v>316</v>
      </c>
      <c r="J106" s="6" t="s">
        <f>=E106*((F106/100*G106)*Портфель!$Q$13 + H106*Портфель!$Q$13) </f>
      </c>
      <c r="K106" s="9" t="n">
        <v>0.1322</v>
      </c>
      <c r="L106" s="17" t="n">
        <v>264.52</v>
      </c>
      <c r="M106" s="17" t="n">
        <v>0.06</v>
      </c>
      <c r="N106" s="2"/>
      <c r="O106" s="2"/>
      <c r="P106" s="17"/>
      <c r="Q106" s="17"/>
    </row>
    <row collapsed="false" customFormat="false" customHeight="false" hidden="false" ht="12.1" outlineLevel="0" r="107">
      <c r="A107" s="2" t="s">
        <v>317</v>
      </c>
      <c r="B107" s="2" t="s">
        <v>96</v>
      </c>
      <c r="C107" s="2" t="s">
        <v>318</v>
      </c>
      <c r="D107" s="2" t="s">
        <v>20</v>
      </c>
      <c r="E107" s="7" t="n">
        <v>1</v>
      </c>
      <c r="F107" s="6" t="n">
        <v>99.94</v>
      </c>
      <c r="G107" s="17" t="n">
        <v>263</v>
      </c>
      <c r="H107" s="6" t="n">
        <v>6.35</v>
      </c>
      <c r="I107" s="2" t="s">
        <v>319</v>
      </c>
      <c r="J107" s="6" t="s">
        <f>=E107*((F107/100*G107)*Портфель!$Q$13 + H107*Портфель!$Q$13) </f>
      </c>
      <c r="K107" s="9" t="n">
        <v>0.164</v>
      </c>
      <c r="L107" s="17" t="n">
        <v>587.34</v>
      </c>
      <c r="M107" s="17" t="n">
        <v>0.06</v>
      </c>
      <c r="N107" s="2"/>
      <c r="O107" s="2"/>
      <c r="P107" s="17"/>
      <c r="Q107" s="17"/>
    </row>
    <row collapsed="false" customFormat="false" customHeight="false" hidden="false" ht="12.1" outlineLevel="0" r="108">
      <c r="A108" s="2" t="s">
        <v>320</v>
      </c>
      <c r="B108" s="2" t="s">
        <v>96</v>
      </c>
      <c r="C108" s="2" t="s">
        <v>321</v>
      </c>
      <c r="D108" s="2" t="s">
        <v>20</v>
      </c>
      <c r="E108" s="7" t="n">
        <v>1</v>
      </c>
      <c r="F108" s="6" t="n">
        <v>99.64</v>
      </c>
      <c r="G108" s="17" t="n">
        <v>200</v>
      </c>
      <c r="H108" s="6" t="n">
        <v>4.68</v>
      </c>
      <c r="I108" s="2" t="s">
        <v>322</v>
      </c>
      <c r="J108" s="6" t="s">
        <f>=E108*((F108/100*G108)*Портфель!$Q$13 + H108*Портфель!$Q$13) </f>
      </c>
      <c r="K108" s="9" t="n">
        <v>0.1166</v>
      </c>
      <c r="L108" s="17" t="n">
        <v>842.45</v>
      </c>
      <c r="M108" s="17" t="n">
        <v>0.05</v>
      </c>
      <c r="N108" s="2"/>
      <c r="O108" s="2"/>
      <c r="P108" s="17"/>
      <c r="Q108" s="17"/>
    </row>
    <row collapsed="false" customFormat="false" customHeight="false" hidden="false" ht="12.1" outlineLevel="0" r="109">
      <c r="A109" s="2"/>
      <c r="B109" s="2"/>
      <c r="C109" s="2"/>
      <c r="D109" s="2"/>
      <c r="E109" s="7"/>
      <c r="F109" s="6"/>
      <c r="G109" s="4"/>
      <c r="H109" s="4" t="s">
        <v>323</v>
      </c>
      <c r="I109" s="4"/>
      <c r="J109" s="5" t="s">
        <f>=SUM(J33:J108)</f>
      </c>
      <c r="K109" s="4"/>
      <c r="L109" s="4"/>
      <c r="M109" s="10" t="s">
        <f>=J109/J113</f>
      </c>
      <c r="N109" s="2"/>
      <c r="O109" s="2"/>
      <c r="P109" s="17"/>
      <c r="Q109" s="17"/>
    </row>
    <row collapsed="false" customFormat="false" customHeight="false" hidden="false" ht="12.1" outlineLevel="0" r="110">
      <c r="A110" s="2" t="s">
        <v>20</v>
      </c>
      <c r="B110" s="2" t="s">
        <v>3</v>
      </c>
      <c r="C110" s="2" t="s">
        <v>324</v>
      </c>
      <c r="D110" s="2" t="s">
        <v>20</v>
      </c>
      <c r="E110" s="7" t="n">
        <v>5657.15</v>
      </c>
      <c r="F110" s="6" t="n">
        <v>1</v>
      </c>
      <c r="G110" s="17" t="n">
        <v>0</v>
      </c>
      <c r="H110" s="6" t="n">
        <v>0</v>
      </c>
      <c r="I110" s="2"/>
      <c r="J110" s="6" t="s">
        <f>=E110*F110</f>
      </c>
      <c r="K110" s="17"/>
      <c r="L110" s="17"/>
      <c r="M110" s="17"/>
      <c r="N110" s="2"/>
      <c r="O110" s="2"/>
      <c r="P110" s="17"/>
      <c r="Q110" s="17"/>
    </row>
    <row collapsed="false" customFormat="false" customHeight="false" hidden="false" ht="12.1" outlineLevel="0" r="111">
      <c r="A111" s="2" t="s">
        <v>42</v>
      </c>
      <c r="B111" s="2" t="s">
        <v>3</v>
      </c>
      <c r="C111" s="2" t="s">
        <v>325</v>
      </c>
      <c r="D111" s="2" t="s">
        <v>20</v>
      </c>
      <c r="E111" s="7" t="n">
        <v>1</v>
      </c>
      <c r="F111" s="6" t="n">
        <v>8476</v>
      </c>
      <c r="G111" s="17" t="n">
        <v>0</v>
      </c>
      <c r="H111" s="6" t="n">
        <v>0</v>
      </c>
      <c r="I111" s="2"/>
      <c r="J111" s="6" t="s">
        <f>=E111*F111</f>
      </c>
      <c r="K111" s="17"/>
      <c r="L111" s="17"/>
      <c r="M111" s="17"/>
      <c r="N111" s="2"/>
      <c r="O111" s="2"/>
      <c r="P111" s="17"/>
      <c r="Q111" s="17"/>
    </row>
    <row collapsed="false" customFormat="false" customHeight="false" hidden="false" ht="12.1" outlineLevel="0" r="112">
      <c r="A112" s="2"/>
      <c r="B112" s="2"/>
      <c r="C112" s="2"/>
      <c r="D112" s="2"/>
      <c r="E112" s="7"/>
      <c r="F112" s="6"/>
      <c r="G112" s="4"/>
      <c r="H112" s="4" t="s">
        <v>326</v>
      </c>
      <c r="I112" s="4"/>
      <c r="J112" s="5" t="s">
        <f>=SUM(J110:J111)</f>
      </c>
      <c r="K112" s="4"/>
      <c r="L112" s="4"/>
      <c r="M112" s="10" t="s">
        <f>=J112/J113</f>
      </c>
      <c r="N112" s="2"/>
      <c r="O112" s="2"/>
      <c r="P112" s="17"/>
      <c r="Q112" s="17"/>
    </row>
    <row collapsed="false" customFormat="false" customHeight="false" hidden="false" ht="12.1" outlineLevel="0" r="113">
      <c r="A113" s="2"/>
      <c r="B113" s="2"/>
      <c r="C113" s="2"/>
      <c r="D113" s="2"/>
      <c r="E113" s="7"/>
      <c r="F113" s="6"/>
      <c r="G113" s="4"/>
      <c r="H113" s="4" t="s">
        <v>327</v>
      </c>
      <c r="I113" s="4"/>
      <c r="J113" s="5" t="s">
        <f>=J32+J109+J112</f>
      </c>
      <c r="K113" s="17"/>
      <c r="L113" s="17"/>
      <c r="M113" s="17"/>
      <c r="N113" s="2"/>
      <c r="O113" s="2"/>
      <c r="P113" s="17"/>
      <c r="Q113" s="17"/>
    </row>
  </sheetData>
  <mergeCells>
    <mergeCell ref="H32:I32"/>
    <mergeCell ref="H109:I109"/>
    <mergeCell ref="H112:I11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328</v>
      </c>
      <c r="B1" s="18" t="s">
        <v>9</v>
      </c>
      <c r="C1" s="18" t="s">
        <v>329</v>
      </c>
      <c r="D1" s="18" t="s">
        <v>330</v>
      </c>
      <c r="E1" s="18" t="s">
        <v>331</v>
      </c>
      <c r="F1" s="18" t="s">
        <v>332</v>
      </c>
      <c r="G1" s="18" t="s">
        <v>333</v>
      </c>
      <c r="H1" s="18" t="s">
        <v>334</v>
      </c>
      <c r="I1" s="18" t="s">
        <v>335</v>
      </c>
    </row>
    <row collapsed="false" customFormat="false" customHeight="false" hidden="false" ht="12.1" outlineLevel="0" r="2">
      <c r="A2" s="14" t="n">
        <v>44692</v>
      </c>
      <c r="B2" s="6" t="n">
        <v>200</v>
      </c>
      <c r="C2" s="6" t="n">
        <v>200</v>
      </c>
      <c r="D2" s="2" t="s">
        <v>336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44692.434421296</v>
      </c>
      <c r="B3" s="6" t="n">
        <v>1510.65</v>
      </c>
      <c r="C3" s="6" t="n">
        <v>1510.65</v>
      </c>
      <c r="D3" s="2" t="s">
        <v>336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44693</v>
      </c>
      <c r="B4" s="6" t="n">
        <v>100</v>
      </c>
      <c r="C4" s="6" t="n">
        <v>100</v>
      </c>
      <c r="D4" s="2" t="s">
        <v>336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44693.50037037</v>
      </c>
      <c r="B5" s="6" t="n">
        <v>300</v>
      </c>
      <c r="C5" s="6" t="n">
        <v>300</v>
      </c>
      <c r="D5" s="2" t="s">
        <v>336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44694.718657407</v>
      </c>
      <c r="B6" s="6" t="n">
        <v>1600</v>
      </c>
      <c r="C6" s="6" t="n">
        <v>1600</v>
      </c>
      <c r="D6" s="2" t="s">
        <v>336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44699.425381944</v>
      </c>
      <c r="B7" s="6" t="n">
        <v>1000</v>
      </c>
      <c r="C7" s="6" t="n">
        <v>1000</v>
      </c>
      <c r="D7" s="2" t="s">
        <v>336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44706</v>
      </c>
      <c r="B8" s="6" t="n">
        <v>-16.08</v>
      </c>
      <c r="C8" s="6" t="n">
        <v>-16.08</v>
      </c>
      <c r="D8" s="2" t="s">
        <v>337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44706.506296296</v>
      </c>
      <c r="B9" s="6" t="n">
        <v>43.77</v>
      </c>
      <c r="C9" s="6" t="n">
        <v>43.77</v>
      </c>
      <c r="D9" s="2" t="s">
        <v>336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44707.818576389</v>
      </c>
      <c r="B10" s="6" t="n">
        <v>16.08</v>
      </c>
      <c r="C10" s="6" t="n">
        <v>16.08</v>
      </c>
      <c r="D10" s="2" t="s">
        <v>338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44708.634189815</v>
      </c>
      <c r="B11" s="6" t="n">
        <v>3000</v>
      </c>
      <c r="C11" s="6" t="n">
        <v>3000</v>
      </c>
      <c r="D11" s="2" t="s">
        <v>336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44708.71693287</v>
      </c>
      <c r="B12" s="6" t="n">
        <v>100</v>
      </c>
      <c r="C12" s="6" t="n">
        <v>100</v>
      </c>
      <c r="D12" s="2" t="s">
        <v>336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44739.58806713</v>
      </c>
      <c r="B13" s="6" t="n">
        <v>1000</v>
      </c>
      <c r="C13" s="6" t="n">
        <v>1000</v>
      </c>
      <c r="D13" s="2" t="s">
        <v>336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44739.601701389</v>
      </c>
      <c r="B14" s="6" t="n">
        <v>100</v>
      </c>
      <c r="C14" s="6" t="n">
        <v>100</v>
      </c>
      <c r="D14" s="2" t="s">
        <v>336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44742.446469907</v>
      </c>
      <c r="B15" s="6" t="n">
        <v>1100</v>
      </c>
      <c r="C15" s="6" t="n">
        <v>1100</v>
      </c>
      <c r="D15" s="2" t="s">
        <v>336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44746.468020833</v>
      </c>
      <c r="B16" s="6" t="n">
        <v>1000</v>
      </c>
      <c r="C16" s="6" t="n">
        <v>1000</v>
      </c>
      <c r="D16" s="2" t="s">
        <v>336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44746.473969907</v>
      </c>
      <c r="B17" s="6" t="n">
        <v>800</v>
      </c>
      <c r="C17" s="6" t="n">
        <v>800</v>
      </c>
      <c r="D17" s="2" t="s">
        <v>336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44748</v>
      </c>
      <c r="B18" s="6" t="n">
        <v>-200</v>
      </c>
      <c r="C18" s="6" t="n">
        <v>-200</v>
      </c>
      <c r="D18" s="2" t="s">
        <v>339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44748.449386574</v>
      </c>
      <c r="B19" s="6" t="n">
        <v>100</v>
      </c>
      <c r="C19" s="6" t="n">
        <v>100</v>
      </c>
      <c r="D19" s="2" t="s">
        <v>336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44749</v>
      </c>
      <c r="B20" s="6" t="n">
        <v>-27.92</v>
      </c>
      <c r="C20" s="6" t="n">
        <v>-27.92</v>
      </c>
      <c r="D20" s="2" t="s">
        <v>340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44750.521018519</v>
      </c>
      <c r="B21" s="6" t="n">
        <v>27.92</v>
      </c>
      <c r="C21" s="6" t="n">
        <v>27.92</v>
      </c>
      <c r="D21" s="2" t="s">
        <v>341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44750.523553241</v>
      </c>
      <c r="B22" s="6" t="n">
        <v>200</v>
      </c>
      <c r="C22" s="6" t="n">
        <v>200</v>
      </c>
      <c r="D22" s="2" t="s">
        <v>342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44761.4940625</v>
      </c>
      <c r="B23" s="6" t="n">
        <v>700</v>
      </c>
      <c r="C23" s="6" t="n">
        <v>700</v>
      </c>
      <c r="D23" s="2" t="s">
        <v>336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44761.494351852</v>
      </c>
      <c r="B24" s="6" t="n">
        <v>50</v>
      </c>
      <c r="C24" s="6" t="n">
        <v>50</v>
      </c>
      <c r="D24" s="2" t="s">
        <v>336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44761.494479167</v>
      </c>
      <c r="B25" s="6" t="n">
        <v>50</v>
      </c>
      <c r="C25" s="6" t="n">
        <v>50</v>
      </c>
      <c r="D25" s="2" t="s">
        <v>336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44769</v>
      </c>
      <c r="B26" s="6" t="n">
        <v>-29.03</v>
      </c>
      <c r="C26" s="6" t="n">
        <v>-29.03</v>
      </c>
      <c r="D26" s="2" t="s">
        <v>343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44769.423657407</v>
      </c>
      <c r="B27" s="6" t="n">
        <v>2700</v>
      </c>
      <c r="C27" s="6" t="n">
        <v>2700</v>
      </c>
      <c r="D27" s="2" t="s">
        <v>336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44774.505381944</v>
      </c>
      <c r="B28" s="6" t="n">
        <v>29.03</v>
      </c>
      <c r="C28" s="6" t="n">
        <v>29.03</v>
      </c>
      <c r="D28" s="2" t="s">
        <v>344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44776</v>
      </c>
      <c r="B29" s="6" t="n">
        <v>-30.42</v>
      </c>
      <c r="C29" s="6" t="n">
        <v>-30.42</v>
      </c>
      <c r="D29" s="2" t="s">
        <v>345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44776.530092593</v>
      </c>
      <c r="B30" s="6" t="n">
        <v>200</v>
      </c>
      <c r="C30" s="6" t="n">
        <v>200</v>
      </c>
      <c r="D30" s="2" t="s">
        <v>336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44778</v>
      </c>
      <c r="B31" s="6" t="n">
        <v>30.42</v>
      </c>
      <c r="C31" s="6" t="n">
        <v>30.42</v>
      </c>
      <c r="D31" s="2" t="s">
        <v>346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44784</v>
      </c>
      <c r="B32" s="6" t="n">
        <v>3500</v>
      </c>
      <c r="C32" s="6" t="n">
        <v>3500</v>
      </c>
      <c r="D32" s="2" t="s">
        <v>336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44797</v>
      </c>
      <c r="B33" s="6" t="n">
        <v>-16.08</v>
      </c>
      <c r="C33" s="6" t="n">
        <v>-16.08</v>
      </c>
      <c r="D33" s="2" t="s">
        <v>337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44798.64650463</v>
      </c>
      <c r="B34" s="6" t="n">
        <v>16.08</v>
      </c>
      <c r="C34" s="6" t="n">
        <v>16.08</v>
      </c>
      <c r="D34" s="2" t="s">
        <v>338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44810.494699074</v>
      </c>
      <c r="B35" s="6" t="n">
        <v>107.63</v>
      </c>
      <c r="C35" s="6" t="n">
        <v>107.63</v>
      </c>
      <c r="D35" s="2" t="s">
        <v>336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44825</v>
      </c>
      <c r="B36" s="6" t="n">
        <v>-29.42</v>
      </c>
      <c r="C36" s="6" t="n">
        <v>-29.42</v>
      </c>
      <c r="D36" s="2" t="s">
        <v>347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44826.585439815</v>
      </c>
      <c r="B37" s="6" t="n">
        <v>29.42</v>
      </c>
      <c r="C37" s="6" t="n">
        <v>29.42</v>
      </c>
      <c r="D37" s="2" t="s">
        <v>348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44840</v>
      </c>
      <c r="B38" s="6" t="n">
        <v>-20.94</v>
      </c>
      <c r="C38" s="6" t="n">
        <v>-20.94</v>
      </c>
      <c r="D38" s="2" t="s">
        <v>349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44841.550775463</v>
      </c>
      <c r="B39" s="6" t="n">
        <v>20.94</v>
      </c>
      <c r="C39" s="6" t="n">
        <v>20.94</v>
      </c>
      <c r="D39" s="2" t="s">
        <v>341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44843</v>
      </c>
      <c r="B40" s="6" t="n">
        <v>-45</v>
      </c>
      <c r="C40" s="6" t="n">
        <v>-45</v>
      </c>
      <c r="D40" s="2" t="s">
        <v>350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44845</v>
      </c>
      <c r="B41" s="6" t="n">
        <v>-32.71</v>
      </c>
      <c r="C41" s="6" t="n">
        <v>-32.71</v>
      </c>
      <c r="D41" s="2" t="s">
        <v>351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44845</v>
      </c>
      <c r="B42" s="6" t="n">
        <v>-510.3</v>
      </c>
      <c r="C42" s="6" t="n">
        <v>-510.3</v>
      </c>
      <c r="D42" s="2" t="s">
        <v>352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44858.431550926</v>
      </c>
      <c r="B43" s="6" t="n">
        <v>1700</v>
      </c>
      <c r="C43" s="6" t="n">
        <v>1700</v>
      </c>
      <c r="D43" s="2" t="s">
        <v>336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44859.648414352</v>
      </c>
      <c r="B44" s="6" t="n">
        <v>45</v>
      </c>
      <c r="C44" s="6" t="n">
        <v>45</v>
      </c>
      <c r="D44" s="2" t="s">
        <v>353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44860</v>
      </c>
      <c r="B45" s="6" t="n">
        <v>-19.69</v>
      </c>
      <c r="C45" s="6" t="n">
        <v>-19.69</v>
      </c>
      <c r="D45" s="2" t="s">
        <v>354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44860.724710648</v>
      </c>
      <c r="B46" s="6" t="n">
        <v>700</v>
      </c>
      <c r="C46" s="6" t="n">
        <v>700</v>
      </c>
      <c r="D46" s="2" t="s">
        <v>336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44860.860509259</v>
      </c>
      <c r="B47" s="6" t="n">
        <v>510.3</v>
      </c>
      <c r="C47" s="6" t="n">
        <v>510.3</v>
      </c>
      <c r="D47" s="2" t="s">
        <v>355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44861.514490741</v>
      </c>
      <c r="B48" s="6" t="n">
        <v>19.69</v>
      </c>
      <c r="C48" s="6" t="n">
        <v>19.69</v>
      </c>
      <c r="D48" s="2" t="s">
        <v>344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44862.439351852</v>
      </c>
      <c r="B49" s="6" t="n">
        <v>32.71</v>
      </c>
      <c r="C49" s="6" t="n">
        <v>32.71</v>
      </c>
      <c r="D49" s="2" t="s">
        <v>356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44862.66224537</v>
      </c>
      <c r="B50" s="6" t="n">
        <v>500</v>
      </c>
      <c r="C50" s="6" t="n">
        <v>500</v>
      </c>
      <c r="D50" s="2" t="s">
        <v>336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44866.537349537</v>
      </c>
      <c r="B51" s="6" t="n">
        <v>1200</v>
      </c>
      <c r="C51" s="6" t="n">
        <v>1200</v>
      </c>
      <c r="D51" s="2" t="s">
        <v>336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44867.71869213</v>
      </c>
      <c r="B52" s="6" t="n">
        <v>500</v>
      </c>
      <c r="C52" s="6" t="n">
        <v>500</v>
      </c>
      <c r="D52" s="2" t="s">
        <v>336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44868</v>
      </c>
      <c r="B53" s="6" t="n">
        <v>-42.38</v>
      </c>
      <c r="C53" s="6" t="n">
        <v>-42.38</v>
      </c>
      <c r="D53" s="2" t="s">
        <v>357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44868.734166667</v>
      </c>
      <c r="B54" s="6" t="n">
        <v>800</v>
      </c>
      <c r="C54" s="6" t="n">
        <v>800</v>
      </c>
      <c r="D54" s="2" t="s">
        <v>336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44868.769328704</v>
      </c>
      <c r="B55" s="6" t="n">
        <v>3100</v>
      </c>
      <c r="C55" s="6" t="n">
        <v>3100</v>
      </c>
      <c r="D55" s="2" t="s">
        <v>336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44868.773240741</v>
      </c>
      <c r="B56" s="6" t="n">
        <v>300</v>
      </c>
      <c r="C56" s="6" t="n">
        <v>300</v>
      </c>
      <c r="D56" s="2" t="s">
        <v>336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44873.505636574</v>
      </c>
      <c r="B57" s="6" t="n">
        <v>42.38</v>
      </c>
      <c r="C57" s="6" t="n">
        <v>42.38</v>
      </c>
      <c r="D57" s="2" t="s">
        <v>358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44881</v>
      </c>
      <c r="B58" s="6" t="n">
        <v>-68.71</v>
      </c>
      <c r="C58" s="6" t="n">
        <v>-68.71</v>
      </c>
      <c r="D58" s="2" t="s">
        <v>359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44883.449039352</v>
      </c>
      <c r="B59" s="6" t="n">
        <v>68.71</v>
      </c>
      <c r="C59" s="6" t="n">
        <v>68.71</v>
      </c>
      <c r="D59" s="2" t="s">
        <v>360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44887</v>
      </c>
      <c r="B60" s="6" t="n">
        <v>-250</v>
      </c>
      <c r="C60" s="6" t="n">
        <v>-250</v>
      </c>
      <c r="D60" s="2" t="s">
        <v>361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44888</v>
      </c>
      <c r="B61" s="6" t="n">
        <v>-16.08</v>
      </c>
      <c r="C61" s="6" t="n">
        <v>-16.08</v>
      </c>
      <c r="D61" s="2" t="s">
        <v>337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44888</v>
      </c>
      <c r="B62" s="6" t="n">
        <v>-72.3</v>
      </c>
      <c r="C62" s="6" t="n">
        <v>-72.3</v>
      </c>
      <c r="D62" s="2" t="s">
        <v>362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44890</v>
      </c>
      <c r="B63" s="6" t="n">
        <v>16.08</v>
      </c>
      <c r="C63" s="6" t="n">
        <v>16.08</v>
      </c>
      <c r="D63" s="2" t="s">
        <v>338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44890.418738426</v>
      </c>
      <c r="B64" s="6" t="n">
        <v>250</v>
      </c>
      <c r="C64" s="6" t="n">
        <v>250</v>
      </c>
      <c r="D64" s="2" t="s">
        <v>363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44890.493159722</v>
      </c>
      <c r="B65" s="6" t="n">
        <v>72.3</v>
      </c>
      <c r="C65" s="6" t="n">
        <v>72.3</v>
      </c>
      <c r="D65" s="2" t="s">
        <v>364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44897</v>
      </c>
      <c r="B66" s="6" t="n">
        <v>-24.81</v>
      </c>
      <c r="C66" s="6" t="n">
        <v>-24.81</v>
      </c>
      <c r="D66" s="2" t="s">
        <v>365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44900.702731481</v>
      </c>
      <c r="B67" s="6" t="n">
        <v>24.81</v>
      </c>
      <c r="C67" s="6" t="n">
        <v>24.81</v>
      </c>
      <c r="D67" s="2" t="s">
        <v>366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44902</v>
      </c>
      <c r="B68" s="6" t="n">
        <v>-19.87</v>
      </c>
      <c r="C68" s="6" t="n">
        <v>-19.87</v>
      </c>
      <c r="D68" s="2" t="s">
        <v>367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44903.460451389</v>
      </c>
      <c r="B69" s="6" t="n">
        <v>19.87</v>
      </c>
      <c r="C69" s="6" t="n">
        <v>19.87</v>
      </c>
      <c r="D69" s="2" t="s">
        <v>368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44903.493275463</v>
      </c>
      <c r="B70" s="6" t="n">
        <v>5600</v>
      </c>
      <c r="C70" s="6" t="n">
        <v>5600</v>
      </c>
      <c r="D70" s="2" t="s">
        <v>336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44910.439571759</v>
      </c>
      <c r="B71" s="6" t="n">
        <v>1000</v>
      </c>
      <c r="C71" s="6" t="n">
        <v>1000</v>
      </c>
      <c r="D71" s="2" t="s">
        <v>336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44916</v>
      </c>
      <c r="B72" s="6" t="n">
        <v>-145.9</v>
      </c>
      <c r="C72" s="6" t="n">
        <v>-145.9</v>
      </c>
      <c r="D72" s="2" t="s">
        <v>369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44917.616851852</v>
      </c>
      <c r="B73" s="6" t="n">
        <v>145.9</v>
      </c>
      <c r="C73" s="6" t="n">
        <v>145.9</v>
      </c>
      <c r="D73" s="2" t="s">
        <v>370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44929.579305556</v>
      </c>
      <c r="B74" s="6" t="n">
        <v>4600</v>
      </c>
      <c r="C74" s="6" t="n">
        <v>4600</v>
      </c>
      <c r="D74" s="2" t="s">
        <v>336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44931</v>
      </c>
      <c r="B75" s="6" t="n">
        <v>-20.94</v>
      </c>
      <c r="C75" s="6" t="n">
        <v>-20.94</v>
      </c>
      <c r="D75" s="2" t="s">
        <v>349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44936</v>
      </c>
      <c r="B76" s="6" t="n">
        <v>-6.86</v>
      </c>
      <c r="C76" s="6" t="n">
        <v>-6.86</v>
      </c>
      <c r="D76" s="2" t="s">
        <v>371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44936.540266204</v>
      </c>
      <c r="B77" s="6" t="n">
        <v>20.94</v>
      </c>
      <c r="C77" s="6" t="n">
        <v>20.94</v>
      </c>
      <c r="D77" s="2" t="s">
        <v>341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44950.52099537</v>
      </c>
      <c r="B78" s="6" t="n">
        <v>5600</v>
      </c>
      <c r="C78" s="6" t="n">
        <v>5600</v>
      </c>
      <c r="D78" s="2" t="s">
        <v>336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44950.53375</v>
      </c>
      <c r="B79" s="6" t="n">
        <v>600</v>
      </c>
      <c r="C79" s="6" t="n">
        <v>600</v>
      </c>
      <c r="D79" s="2" t="s">
        <v>336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44951</v>
      </c>
      <c r="B80" s="6" t="n">
        <v>-18.31</v>
      </c>
      <c r="C80" s="6" t="n">
        <v>-18.31</v>
      </c>
      <c r="D80" s="2" t="s">
        <v>372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44952.430613426</v>
      </c>
      <c r="B81" s="6" t="n">
        <v>18.31</v>
      </c>
      <c r="C81" s="6" t="n">
        <v>18.31</v>
      </c>
      <c r="D81" s="2" t="s">
        <v>344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44952.800185185</v>
      </c>
      <c r="B82" s="6" t="n">
        <v>6.86</v>
      </c>
      <c r="C82" s="6" t="n">
        <v>6.86</v>
      </c>
      <c r="D82" s="2" t="s">
        <v>356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44957</v>
      </c>
      <c r="B83" s="6" t="n">
        <v>-28.22</v>
      </c>
      <c r="C83" s="6" t="n">
        <v>-28.22</v>
      </c>
      <c r="D83" s="2" t="s">
        <v>373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44958</v>
      </c>
      <c r="B84" s="6" t="n">
        <v>-71.9</v>
      </c>
      <c r="C84" s="6" t="n">
        <v>-71.9</v>
      </c>
      <c r="D84" s="2" t="s">
        <v>374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44958</v>
      </c>
      <c r="B85" s="6" t="n">
        <v>-60.84</v>
      </c>
      <c r="C85" s="6" t="n">
        <v>-60.84</v>
      </c>
      <c r="D85" s="2" t="s">
        <v>375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44958.480150463</v>
      </c>
      <c r="B86" s="6" t="n">
        <v>28.22</v>
      </c>
      <c r="C86" s="6" t="n">
        <v>28.22</v>
      </c>
      <c r="D86" s="2" t="s">
        <v>376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44959.469027778</v>
      </c>
      <c r="B87" s="6" t="n">
        <v>71.9</v>
      </c>
      <c r="C87" s="6" t="n">
        <v>71.9</v>
      </c>
      <c r="D87" s="2" t="s">
        <v>377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44959.520266204</v>
      </c>
      <c r="B88" s="6" t="n">
        <v>60.84</v>
      </c>
      <c r="C88" s="6" t="n">
        <v>60.84</v>
      </c>
      <c r="D88" s="2" t="s">
        <v>346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44961</v>
      </c>
      <c r="B89" s="6" t="n">
        <v>-61.86</v>
      </c>
      <c r="C89" s="6" t="n">
        <v>-61.86</v>
      </c>
      <c r="D89" s="2" t="s">
        <v>378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44964</v>
      </c>
      <c r="B90" s="6" t="n">
        <v>61.86</v>
      </c>
      <c r="C90" s="6" t="n">
        <v>61.86</v>
      </c>
      <c r="D90" s="2" t="s">
        <v>379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44972</v>
      </c>
      <c r="B91" s="6" t="n">
        <v>-69.8</v>
      </c>
      <c r="C91" s="6" t="n">
        <v>-69.8</v>
      </c>
      <c r="D91" s="2" t="s">
        <v>380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44973.503171296</v>
      </c>
      <c r="B92" s="6" t="n">
        <v>69.8</v>
      </c>
      <c r="C92" s="6" t="n">
        <v>69.8</v>
      </c>
      <c r="D92" s="2" t="s">
        <v>381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44979</v>
      </c>
      <c r="B93" s="6" t="n">
        <v>-10.72</v>
      </c>
      <c r="C93" s="6" t="n">
        <v>-10.72</v>
      </c>
      <c r="D93" s="2" t="s">
        <v>382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44984.566064815</v>
      </c>
      <c r="B94" s="6" t="n">
        <v>10.72</v>
      </c>
      <c r="C94" s="6" t="n">
        <v>10.72</v>
      </c>
      <c r="D94" s="2" t="s">
        <v>338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44984.859085648</v>
      </c>
      <c r="B95" s="6" t="n">
        <v>5400</v>
      </c>
      <c r="C95" s="6" t="n">
        <v>5400</v>
      </c>
      <c r="D95" s="2" t="s">
        <v>336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44988</v>
      </c>
      <c r="B96" s="6" t="n">
        <v>-24.81</v>
      </c>
      <c r="C96" s="6" t="n">
        <v>-24.81</v>
      </c>
      <c r="D96" s="2" t="s">
        <v>365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44992.606435185</v>
      </c>
      <c r="B97" s="6" t="n">
        <v>24.81</v>
      </c>
      <c r="C97" s="6" t="n">
        <v>24.81</v>
      </c>
      <c r="D97" s="2" t="s">
        <v>366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44993</v>
      </c>
      <c r="B98" s="6" t="n">
        <v>-69.51</v>
      </c>
      <c r="C98" s="6" t="n">
        <v>-69.51</v>
      </c>
      <c r="D98" s="2" t="s">
        <v>383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44993</v>
      </c>
      <c r="B99" s="6" t="n">
        <v>-19.87</v>
      </c>
      <c r="C99" s="6" t="n">
        <v>-19.87</v>
      </c>
      <c r="D99" s="2" t="s">
        <v>367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44995.549201389</v>
      </c>
      <c r="B100" s="6" t="n">
        <v>69.51</v>
      </c>
      <c r="C100" s="6" t="n">
        <v>69.51</v>
      </c>
      <c r="D100" s="2" t="s">
        <v>384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44995.581087963</v>
      </c>
      <c r="B101" s="6" t="n">
        <v>19.87</v>
      </c>
      <c r="C101" s="6" t="n">
        <v>19.87</v>
      </c>
      <c r="D101" s="2" t="s">
        <v>368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44999.470023148</v>
      </c>
      <c r="B102" s="6" t="n">
        <v>948.56</v>
      </c>
      <c r="C102" s="6" t="n">
        <v>948.56</v>
      </c>
      <c r="D102" s="2" t="s">
        <v>336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44999.485439815</v>
      </c>
      <c r="B103" s="6" t="n">
        <v>600</v>
      </c>
      <c r="C103" s="6" t="n">
        <v>600</v>
      </c>
      <c r="D103" s="2" t="s">
        <v>336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45001.706631944</v>
      </c>
      <c r="B104" s="6" t="n">
        <v>9200</v>
      </c>
      <c r="C104" s="6" t="n">
        <v>9200</v>
      </c>
      <c r="D104" s="2" t="s">
        <v>336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45001.707152778</v>
      </c>
      <c r="B105" s="6" t="n">
        <v>50</v>
      </c>
      <c r="C105" s="6" t="n">
        <v>50</v>
      </c>
      <c r="D105" s="2" t="s">
        <v>336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45001.786354167</v>
      </c>
      <c r="B106" s="6" t="n">
        <v>150</v>
      </c>
      <c r="C106" s="6" t="n">
        <v>150</v>
      </c>
      <c r="D106" s="2" t="s">
        <v>336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45006</v>
      </c>
      <c r="B107" s="6" t="n">
        <v>-39.39</v>
      </c>
      <c r="C107" s="6" t="n">
        <v>-39.39</v>
      </c>
      <c r="D107" s="2" t="s">
        <v>385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45006.751608796</v>
      </c>
      <c r="B108" s="6" t="n">
        <v>4506</v>
      </c>
      <c r="C108" s="6" t="n">
        <v>4506</v>
      </c>
      <c r="D108" s="2" t="s">
        <v>336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45006.904861111</v>
      </c>
      <c r="B109" s="6" t="n">
        <v>-4506</v>
      </c>
      <c r="C109" s="6" t="n">
        <v>0</v>
      </c>
      <c r="D109" s="2" t="s">
        <v>386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45007</v>
      </c>
      <c r="B110" s="6" t="n">
        <v>-58.84</v>
      </c>
      <c r="C110" s="6" t="n">
        <v>-58.84</v>
      </c>
      <c r="D110" s="2" t="s">
        <v>387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45007.523668981</v>
      </c>
      <c r="B111" s="6" t="n">
        <v>39.39</v>
      </c>
      <c r="C111" s="6" t="n">
        <v>39.39</v>
      </c>
      <c r="D111" s="2" t="s">
        <v>388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45008</v>
      </c>
      <c r="B112" s="6" t="n">
        <v>58.84</v>
      </c>
      <c r="C112" s="6" t="n">
        <v>58.84</v>
      </c>
      <c r="D112" s="2" t="s">
        <v>348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45009.672604167</v>
      </c>
      <c r="B113" s="6" t="n">
        <v>186.49</v>
      </c>
      <c r="C113" s="6" t="n">
        <v>186.49</v>
      </c>
      <c r="D113" s="2" t="s">
        <v>336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45009.695150463</v>
      </c>
      <c r="B114" s="6" t="n">
        <v>200</v>
      </c>
      <c r="C114" s="6" t="n">
        <v>200</v>
      </c>
      <c r="D114" s="2" t="s">
        <v>336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45014</v>
      </c>
      <c r="B115" s="6" t="n">
        <v>-14.58</v>
      </c>
      <c r="C115" s="6" t="n">
        <v>-14.58</v>
      </c>
      <c r="D115" s="2" t="s">
        <v>389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45016.420127315</v>
      </c>
      <c r="B116" s="6" t="n">
        <v>14.58</v>
      </c>
      <c r="C116" s="6" t="n">
        <v>14.58</v>
      </c>
      <c r="D116" s="2" t="s">
        <v>390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45021</v>
      </c>
      <c r="B117" s="6" t="n">
        <v>-38.39</v>
      </c>
      <c r="C117" s="6" t="n">
        <v>-38.39</v>
      </c>
      <c r="D117" s="2" t="s">
        <v>391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45021</v>
      </c>
      <c r="B118" s="6" t="n">
        <v>-115.17</v>
      </c>
      <c r="C118" s="6" t="n">
        <v>-115.17</v>
      </c>
      <c r="D118" s="2" t="s">
        <v>392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45022</v>
      </c>
      <c r="B119" s="6" t="n">
        <v>-20.94</v>
      </c>
      <c r="C119" s="6" t="n">
        <v>-20.94</v>
      </c>
      <c r="D119" s="2" t="s">
        <v>349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45022.424814815</v>
      </c>
      <c r="B120" s="6" t="n">
        <v>38.39</v>
      </c>
      <c r="C120" s="6" t="n">
        <v>38.39</v>
      </c>
      <c r="D120" s="2" t="s">
        <v>393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45022.629699074</v>
      </c>
      <c r="B121" s="6" t="n">
        <v>115.17</v>
      </c>
      <c r="C121" s="6" t="n">
        <v>115.17</v>
      </c>
      <c r="D121" s="2" t="s">
        <v>394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45023</v>
      </c>
      <c r="B122" s="6" t="n">
        <v>20.94</v>
      </c>
      <c r="C122" s="6" t="n">
        <v>20.94</v>
      </c>
      <c r="D122" s="2" t="s">
        <v>341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45023.94025463</v>
      </c>
      <c r="B123" s="6" t="n">
        <v>5000</v>
      </c>
      <c r="C123" s="6" t="n">
        <v>5000</v>
      </c>
      <c r="D123" s="2" t="s">
        <v>336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45028</v>
      </c>
      <c r="B124" s="6" t="n">
        <v>-116.68</v>
      </c>
      <c r="C124" s="6" t="n">
        <v>-116.68</v>
      </c>
      <c r="D124" s="2" t="s">
        <v>395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45029.644953704</v>
      </c>
      <c r="B125" s="6" t="n">
        <v>116.68</v>
      </c>
      <c r="C125" s="6" t="n">
        <v>116.68</v>
      </c>
      <c r="D125" s="2" t="s">
        <v>396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45030</v>
      </c>
      <c r="B126" s="6" t="n">
        <v>1182</v>
      </c>
      <c r="C126" s="6" t="n">
        <v>1182</v>
      </c>
      <c r="D126" s="2" t="s">
        <v>336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45035.727997685</v>
      </c>
      <c r="B127" s="6" t="n">
        <v>758.7</v>
      </c>
      <c r="C127" s="6" t="n">
        <v>758.7</v>
      </c>
      <c r="D127" s="2" t="s">
        <v>336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45042</v>
      </c>
      <c r="B128" s="6" t="n">
        <v>-17.98</v>
      </c>
      <c r="C128" s="6" t="n">
        <v>-17.98</v>
      </c>
      <c r="D128" s="2" t="s">
        <v>397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45043.477037037</v>
      </c>
      <c r="B129" s="6" t="n">
        <v>17.98</v>
      </c>
      <c r="C129" s="6" t="n">
        <v>17.98</v>
      </c>
      <c r="D129" s="2" t="s">
        <v>344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45048</v>
      </c>
      <c r="B130" s="6" t="n">
        <v>-28.22</v>
      </c>
      <c r="C130" s="6" t="n">
        <v>-28.22</v>
      </c>
      <c r="D130" s="2" t="s">
        <v>373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45049</v>
      </c>
      <c r="B131" s="6" t="n">
        <v>-60.58</v>
      </c>
      <c r="C131" s="6" t="n">
        <v>-60.58</v>
      </c>
      <c r="D131" s="2" t="s">
        <v>398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45049.518622685</v>
      </c>
      <c r="B132" s="6" t="n">
        <v>28.22</v>
      </c>
      <c r="C132" s="6" t="n">
        <v>28.22</v>
      </c>
      <c r="D132" s="2" t="s">
        <v>376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45050</v>
      </c>
      <c r="B133" s="6" t="n">
        <v>-42.38</v>
      </c>
      <c r="C133" s="6" t="n">
        <v>-42.38</v>
      </c>
      <c r="D133" s="2" t="s">
        <v>357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45051.488842593</v>
      </c>
      <c r="B134" s="6" t="n">
        <v>42.38</v>
      </c>
      <c r="C134" s="6" t="n">
        <v>42.38</v>
      </c>
      <c r="D134" s="2" t="s">
        <v>358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45053.581898148</v>
      </c>
      <c r="B135" s="6" t="n">
        <v>5000</v>
      </c>
      <c r="C135" s="6" t="n">
        <v>5000</v>
      </c>
      <c r="D135" s="2" t="s">
        <v>336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45057</v>
      </c>
      <c r="B136" s="6" t="n">
        <v>-500</v>
      </c>
      <c r="C136" s="6" t="n">
        <v>-500</v>
      </c>
      <c r="D136" s="2" t="s">
        <v>399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45057</v>
      </c>
      <c r="B137" s="6" t="n">
        <v>-750</v>
      </c>
      <c r="C137" s="6" t="n">
        <v>-750</v>
      </c>
      <c r="D137" s="2" t="s">
        <v>400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45061</v>
      </c>
      <c r="B138" s="6" t="n">
        <v>801</v>
      </c>
      <c r="C138" s="6" t="n">
        <v>801</v>
      </c>
      <c r="D138" s="2" t="s">
        <v>336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45061</v>
      </c>
      <c r="B139" s="6" t="n">
        <v>2000</v>
      </c>
      <c r="C139" s="6" t="n">
        <v>2000</v>
      </c>
      <c r="D139" s="2" t="s">
        <v>336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45063</v>
      </c>
      <c r="B140" s="6" t="n">
        <v>-153.63</v>
      </c>
      <c r="C140" s="6" t="n">
        <v>-153.63</v>
      </c>
      <c r="D140" s="2" t="s">
        <v>401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45064.552048611</v>
      </c>
      <c r="B141" s="6" t="n">
        <v>153.63</v>
      </c>
      <c r="C141" s="6" t="n">
        <v>153.63</v>
      </c>
      <c r="D141" s="2" t="s">
        <v>360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45065.64244213</v>
      </c>
      <c r="B142" s="6" t="n">
        <v>60.58</v>
      </c>
      <c r="C142" s="6" t="n">
        <v>60.58</v>
      </c>
      <c r="D142" s="2" t="s">
        <v>353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45068</v>
      </c>
      <c r="B143" s="6" t="n">
        <v>-32.41</v>
      </c>
      <c r="C143" s="6" t="n">
        <v>-32.41</v>
      </c>
      <c r="D143" s="2" t="s">
        <v>402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45069.4671875</v>
      </c>
      <c r="B144" s="6" t="n">
        <v>32.41</v>
      </c>
      <c r="C144" s="6" t="n">
        <v>32.41</v>
      </c>
      <c r="D144" s="2" t="s">
        <v>403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45070</v>
      </c>
      <c r="B145" s="6" t="n">
        <v>-10.72</v>
      </c>
      <c r="C145" s="6" t="n">
        <v>-10.72</v>
      </c>
      <c r="D145" s="2" t="s">
        <v>382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45070</v>
      </c>
      <c r="B146" s="6" t="n">
        <v>-108.45</v>
      </c>
      <c r="C146" s="6" t="n">
        <v>-108.45</v>
      </c>
      <c r="D146" s="2" t="s">
        <v>404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45071</v>
      </c>
      <c r="B147" s="6" t="n">
        <v>-10.83</v>
      </c>
      <c r="C147" s="6" t="n">
        <v>-10.83</v>
      </c>
      <c r="D147" s="2" t="s">
        <v>405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45071.470555556</v>
      </c>
      <c r="B148" s="6" t="n">
        <v>10.72</v>
      </c>
      <c r="C148" s="6" t="n">
        <v>10.72</v>
      </c>
      <c r="D148" s="2" t="s">
        <v>338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45071.536481481</v>
      </c>
      <c r="B149" s="6" t="n">
        <v>500</v>
      </c>
      <c r="C149" s="6" t="n">
        <v>500</v>
      </c>
      <c r="D149" s="2" t="s">
        <v>406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45071.748969907</v>
      </c>
      <c r="B150" s="6" t="n">
        <v>750</v>
      </c>
      <c r="C150" s="6" t="n">
        <v>750</v>
      </c>
      <c r="D150" s="2" t="s">
        <v>407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45072.660949074</v>
      </c>
      <c r="B151" s="6" t="n">
        <v>108.45</v>
      </c>
      <c r="C151" s="6" t="n">
        <v>108.45</v>
      </c>
      <c r="D151" s="2" t="s">
        <v>364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45072.758622685</v>
      </c>
      <c r="B152" s="6" t="n">
        <v>10.83</v>
      </c>
      <c r="C152" s="6" t="n">
        <v>10.83</v>
      </c>
      <c r="D152" s="2" t="s">
        <v>408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45076</v>
      </c>
      <c r="B153" s="6" t="n">
        <v>-113.4621272076</v>
      </c>
      <c r="C153" s="6" t="n">
        <v>-113.4621272076</v>
      </c>
      <c r="D153" s="2" t="s">
        <v>409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45079</v>
      </c>
      <c r="B154" s="6" t="n">
        <v>-24.81</v>
      </c>
      <c r="C154" s="6" t="n">
        <v>-24.81</v>
      </c>
      <c r="D154" s="2" t="s">
        <v>365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45082.549675926</v>
      </c>
      <c r="B155" s="6" t="n">
        <v>24.81</v>
      </c>
      <c r="C155" s="6" t="n">
        <v>24.81</v>
      </c>
      <c r="D155" s="2" t="s">
        <v>366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45082.671898148</v>
      </c>
      <c r="B156" s="6" t="n">
        <v>6200</v>
      </c>
      <c r="C156" s="6" t="n">
        <v>6200</v>
      </c>
      <c r="D156" s="2" t="s">
        <v>336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45084</v>
      </c>
      <c r="B157" s="6" t="n">
        <v>-32.66</v>
      </c>
      <c r="C157" s="6" t="n">
        <v>-32.66</v>
      </c>
      <c r="D157" s="2" t="s">
        <v>410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45084</v>
      </c>
      <c r="B158" s="6" t="n">
        <v>-141.6</v>
      </c>
      <c r="C158" s="6" t="n">
        <v>-141.6</v>
      </c>
      <c r="D158" s="2" t="s">
        <v>411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45084</v>
      </c>
      <c r="B159" s="6" t="n">
        <v>-19.87</v>
      </c>
      <c r="C159" s="6" t="n">
        <v>-19.87</v>
      </c>
      <c r="D159" s="2" t="s">
        <v>367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45085</v>
      </c>
      <c r="B160" s="6" t="n">
        <v>5000</v>
      </c>
      <c r="C160" s="6" t="n">
        <v>5000</v>
      </c>
      <c r="D160" s="2" t="s">
        <v>336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45085.750104167</v>
      </c>
      <c r="B161" s="6" t="n">
        <v>32.66</v>
      </c>
      <c r="C161" s="6" t="n">
        <v>32.66</v>
      </c>
      <c r="D161" s="2" t="s">
        <v>412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45085.755891204</v>
      </c>
      <c r="B162" s="6" t="n">
        <v>19.87</v>
      </c>
      <c r="C162" s="6" t="n">
        <v>19.87</v>
      </c>
      <c r="D162" s="2" t="s">
        <v>368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45086</v>
      </c>
      <c r="B163" s="6" t="n">
        <v>141.6</v>
      </c>
      <c r="C163" s="6" t="n">
        <v>141.6</v>
      </c>
      <c r="D163" s="2" t="s">
        <v>413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45090</v>
      </c>
      <c r="B164" s="6" t="n">
        <v>-31.3</v>
      </c>
      <c r="C164" s="6" t="n">
        <v>-31.3</v>
      </c>
      <c r="D164" s="2" t="s">
        <v>414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45091</v>
      </c>
      <c r="B165" s="6" t="n">
        <v>31.3</v>
      </c>
      <c r="C165" s="6" t="n">
        <v>31.3</v>
      </c>
      <c r="D165" s="2" t="s">
        <v>415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710</v>
      </c>
      <c r="C166" s="6" t="n">
        <v>710</v>
      </c>
      <c r="D166" s="2" t="s">
        <v>336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45091.666342593</v>
      </c>
      <c r="B167" s="6" t="n">
        <v>113.46</v>
      </c>
      <c r="C167" s="6" t="n">
        <v>113.46</v>
      </c>
      <c r="D167" s="2" t="s">
        <v>416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45093</v>
      </c>
      <c r="B168" s="6" t="n">
        <v>-48.4</v>
      </c>
      <c r="C168" s="6" t="n">
        <v>-48.4</v>
      </c>
      <c r="D168" s="2" t="s">
        <v>417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45098</v>
      </c>
      <c r="B169" s="6" t="n">
        <v>-142.56</v>
      </c>
      <c r="C169" s="6" t="n">
        <v>-142.56</v>
      </c>
      <c r="D169" s="2" t="s">
        <v>418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45099.541446759</v>
      </c>
      <c r="B170" s="6" t="n">
        <v>142.56</v>
      </c>
      <c r="C170" s="6" t="n">
        <v>142.56</v>
      </c>
      <c r="D170" s="2" t="s">
        <v>370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45104.514351852</v>
      </c>
      <c r="B171" s="6" t="n">
        <v>6200</v>
      </c>
      <c r="C171" s="6" t="n">
        <v>6200</v>
      </c>
      <c r="D171" s="2" t="s">
        <v>336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45107.707291667</v>
      </c>
      <c r="B172" s="6" t="n">
        <v>48.4</v>
      </c>
      <c r="C172" s="6" t="n">
        <v>48.4</v>
      </c>
      <c r="D172" s="2" t="s">
        <v>419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-200</v>
      </c>
      <c r="C173" s="6" t="n">
        <v>-200</v>
      </c>
      <c r="D173" s="2" t="s">
        <v>339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45113</v>
      </c>
      <c r="B174" s="6" t="n">
        <v>-20.94</v>
      </c>
      <c r="C174" s="6" t="n">
        <v>-20.94</v>
      </c>
      <c r="D174" s="2" t="s">
        <v>349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45113.942280093</v>
      </c>
      <c r="B175" s="6" t="n">
        <v>5000</v>
      </c>
      <c r="C175" s="6" t="n">
        <v>5000</v>
      </c>
      <c r="D175" s="2" t="s">
        <v>336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45114.422372685</v>
      </c>
      <c r="B176" s="6" t="n">
        <v>20.94</v>
      </c>
      <c r="C176" s="6" t="n">
        <v>20.94</v>
      </c>
      <c r="D176" s="2" t="s">
        <v>341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45114.427546296</v>
      </c>
      <c r="B177" s="6" t="n">
        <v>200</v>
      </c>
      <c r="C177" s="6" t="n">
        <v>200</v>
      </c>
      <c r="D177" s="2" t="s">
        <v>342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45118</v>
      </c>
      <c r="B178" s="6" t="n">
        <v>-50.254795</v>
      </c>
      <c r="C178" s="6" t="n">
        <v>-50.254795</v>
      </c>
      <c r="D178" s="2" t="s">
        <v>420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45118</v>
      </c>
      <c r="B179" s="6" t="n">
        <v>-27.71</v>
      </c>
      <c r="C179" s="6" t="n">
        <v>-27.71</v>
      </c>
      <c r="D179" s="2" t="s">
        <v>421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45124.484224537</v>
      </c>
      <c r="B180" s="6" t="n">
        <v>952.2</v>
      </c>
      <c r="C180" s="6" t="n">
        <v>952.2</v>
      </c>
      <c r="D180" s="2" t="s">
        <v>336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45126</v>
      </c>
      <c r="B181" s="6" t="n">
        <v>-41</v>
      </c>
      <c r="C181" s="6" t="n">
        <v>-41</v>
      </c>
      <c r="D181" s="2" t="s">
        <v>422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45127</v>
      </c>
      <c r="B182" s="6" t="n">
        <v>-80</v>
      </c>
      <c r="C182" s="6" t="n">
        <v>-80</v>
      </c>
      <c r="D182" s="2" t="s">
        <v>423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45127</v>
      </c>
      <c r="B183" s="6" t="n">
        <v>-80</v>
      </c>
      <c r="C183" s="6" t="n">
        <v>-80</v>
      </c>
      <c r="D183" s="2" t="s">
        <v>424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45133</v>
      </c>
      <c r="B184" s="6" t="n">
        <v>-43.38</v>
      </c>
      <c r="C184" s="6" t="n">
        <v>-43.38</v>
      </c>
      <c r="D184" s="2" t="s">
        <v>425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45133</v>
      </c>
      <c r="B185" s="6" t="n">
        <v>-18.18</v>
      </c>
      <c r="C185" s="6" t="n">
        <v>-18.18</v>
      </c>
      <c r="D185" s="2" t="s">
        <v>426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45133.585532407</v>
      </c>
      <c r="B186" s="6" t="n">
        <v>50.26</v>
      </c>
      <c r="C186" s="6" t="n">
        <v>50.26</v>
      </c>
      <c r="D186" s="2" t="s">
        <v>427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45134.634351852</v>
      </c>
      <c r="B187" s="6" t="n">
        <v>27.71</v>
      </c>
      <c r="C187" s="6" t="n">
        <v>27.71</v>
      </c>
      <c r="D187" s="2" t="s">
        <v>356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45135.731770833</v>
      </c>
      <c r="B188" s="6" t="n">
        <v>43.38</v>
      </c>
      <c r="C188" s="6" t="n">
        <v>43.38</v>
      </c>
      <c r="D188" s="2" t="s">
        <v>428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45135.755277778</v>
      </c>
      <c r="B189" s="6" t="n">
        <v>18.18</v>
      </c>
      <c r="C189" s="6" t="n">
        <v>18.18</v>
      </c>
      <c r="D189" s="2" t="s">
        <v>344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45139</v>
      </c>
      <c r="B190" s="6" t="n">
        <v>-28.22</v>
      </c>
      <c r="C190" s="6" t="n">
        <v>-28.22</v>
      </c>
      <c r="D190" s="2" t="s">
        <v>373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45140</v>
      </c>
      <c r="B191" s="6" t="n">
        <v>-43.53</v>
      </c>
      <c r="C191" s="6" t="n">
        <v>-43.53</v>
      </c>
      <c r="D191" s="2" t="s">
        <v>429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45140</v>
      </c>
      <c r="B192" s="6" t="n">
        <v>-304.2</v>
      </c>
      <c r="C192" s="6" t="n">
        <v>-304.2</v>
      </c>
      <c r="D192" s="2" t="s">
        <v>430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45141.766342593</v>
      </c>
      <c r="B193" s="6" t="n">
        <v>41</v>
      </c>
      <c r="C193" s="6" t="n">
        <v>41</v>
      </c>
      <c r="D193" s="2" t="s">
        <v>431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45142</v>
      </c>
      <c r="B194" s="6" t="n">
        <v>28.22</v>
      </c>
      <c r="C194" s="6" t="n">
        <v>28.22</v>
      </c>
      <c r="D194" s="2" t="s">
        <v>376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45142.502164352</v>
      </c>
      <c r="B195" s="6" t="n">
        <v>43.53</v>
      </c>
      <c r="C195" s="6" t="n">
        <v>43.53</v>
      </c>
      <c r="D195" s="2" t="s">
        <v>377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45142.532604167</v>
      </c>
      <c r="B196" s="6" t="n">
        <v>80</v>
      </c>
      <c r="C196" s="6" t="n">
        <v>80</v>
      </c>
      <c r="D196" s="2" t="s">
        <v>432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45142.57212963</v>
      </c>
      <c r="B197" s="6" t="n">
        <v>304.2</v>
      </c>
      <c r="C197" s="6" t="n">
        <v>304.2</v>
      </c>
      <c r="D197" s="2" t="s">
        <v>346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45142.611886574</v>
      </c>
      <c r="B198" s="6" t="n">
        <v>80</v>
      </c>
      <c r="C198" s="6" t="n">
        <v>80</v>
      </c>
      <c r="D198" s="2" t="s">
        <v>433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45143</v>
      </c>
      <c r="B199" s="6" t="n">
        <v>-53.1</v>
      </c>
      <c r="C199" s="6" t="n">
        <v>-53.1</v>
      </c>
      <c r="D199" s="2" t="s">
        <v>434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45146.938344907</v>
      </c>
      <c r="B200" s="6" t="n">
        <v>11000</v>
      </c>
      <c r="C200" s="6" t="n">
        <v>11000</v>
      </c>
      <c r="D200" s="2" t="s">
        <v>336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45147.463553241</v>
      </c>
      <c r="B201" s="6" t="n">
        <v>53.1</v>
      </c>
      <c r="C201" s="6" t="n">
        <v>53.1</v>
      </c>
      <c r="D201" s="2" t="s">
        <v>379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45152.882280093</v>
      </c>
      <c r="B202" s="6" t="n">
        <v>1285</v>
      </c>
      <c r="C202" s="6" t="n">
        <v>1285</v>
      </c>
      <c r="D202" s="2" t="s">
        <v>336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45154</v>
      </c>
      <c r="B203" s="6" t="n">
        <v>-244.3</v>
      </c>
      <c r="C203" s="6" t="n">
        <v>-244.3</v>
      </c>
      <c r="D203" s="2" t="s">
        <v>435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45155.555381944</v>
      </c>
      <c r="B204" s="6" t="n">
        <v>244.3</v>
      </c>
      <c r="C204" s="6" t="n">
        <v>244.3</v>
      </c>
      <c r="D204" s="2" t="s">
        <v>381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45156</v>
      </c>
      <c r="B205" s="6" t="n">
        <v>-51.61</v>
      </c>
      <c r="C205" s="6" t="n">
        <v>-51.61</v>
      </c>
      <c r="D205" s="2" t="s">
        <v>436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45158</v>
      </c>
      <c r="B206" s="6" t="n">
        <v>-15</v>
      </c>
      <c r="C206" s="6" t="n">
        <v>-15</v>
      </c>
      <c r="D206" s="2" t="s">
        <v>437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45159</v>
      </c>
      <c r="B207" s="6" t="n">
        <v>-64.82</v>
      </c>
      <c r="C207" s="6" t="n">
        <v>-64.82</v>
      </c>
      <c r="D207" s="2" t="s">
        <v>438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45159</v>
      </c>
      <c r="B208" s="6" t="n">
        <v>51.61</v>
      </c>
      <c r="C208" s="6" t="n">
        <v>51.61</v>
      </c>
      <c r="D208" s="2" t="s">
        <v>439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45160.712881944</v>
      </c>
      <c r="B209" s="6" t="n">
        <v>64.82</v>
      </c>
      <c r="C209" s="6" t="n">
        <v>64.82</v>
      </c>
      <c r="D209" s="2" t="s">
        <v>403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45160.721944444</v>
      </c>
      <c r="B210" s="6" t="n">
        <v>15</v>
      </c>
      <c r="C210" s="6" t="n">
        <v>15</v>
      </c>
      <c r="D210" s="2" t="s">
        <v>440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45161</v>
      </c>
      <c r="B211" s="6" t="n">
        <v>-10.72</v>
      </c>
      <c r="C211" s="6" t="n">
        <v>-10.72</v>
      </c>
      <c r="D211" s="2" t="s">
        <v>382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45162</v>
      </c>
      <c r="B212" s="6" t="n">
        <v>-10.83</v>
      </c>
      <c r="C212" s="6" t="n">
        <v>-10.83</v>
      </c>
      <c r="D212" s="2" t="s">
        <v>405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45162.687893519</v>
      </c>
      <c r="B213" s="6" t="n">
        <v>10.72</v>
      </c>
      <c r="C213" s="6" t="n">
        <v>10.72</v>
      </c>
      <c r="D213" s="2" t="s">
        <v>338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45163.491655093</v>
      </c>
      <c r="B214" s="6" t="n">
        <v>10.83</v>
      </c>
      <c r="C214" s="6" t="n">
        <v>10.83</v>
      </c>
      <c r="D214" s="2" t="s">
        <v>408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45170</v>
      </c>
      <c r="B215" s="6" t="n">
        <v>-24.81</v>
      </c>
      <c r="C215" s="6" t="n">
        <v>-24.81</v>
      </c>
      <c r="D215" s="2" t="s">
        <v>365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45173.602847222</v>
      </c>
      <c r="B216" s="6" t="n">
        <v>24.81</v>
      </c>
      <c r="C216" s="6" t="n">
        <v>24.81</v>
      </c>
      <c r="D216" s="2" t="s">
        <v>366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45175</v>
      </c>
      <c r="B217" s="6" t="n">
        <v>-19.87</v>
      </c>
      <c r="C217" s="6" t="n">
        <v>-19.87</v>
      </c>
      <c r="D217" s="2" t="s">
        <v>367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45175</v>
      </c>
      <c r="B218" s="6" t="n">
        <v>-43.33</v>
      </c>
      <c r="C218" s="6" t="n">
        <v>-43.33</v>
      </c>
      <c r="D218" s="2" t="s">
        <v>441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45175.908761574</v>
      </c>
      <c r="B219" s="6" t="n">
        <v>5000</v>
      </c>
      <c r="C219" s="6" t="n">
        <v>5000</v>
      </c>
      <c r="D219" s="2" t="s">
        <v>336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45176.529166667</v>
      </c>
      <c r="B220" s="6" t="n">
        <v>19.87</v>
      </c>
      <c r="C220" s="6" t="n">
        <v>19.87</v>
      </c>
      <c r="D220" s="2" t="s">
        <v>368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45176.563553241</v>
      </c>
      <c r="B221" s="6" t="n">
        <v>43.33</v>
      </c>
      <c r="C221" s="6" t="n">
        <v>43.33</v>
      </c>
      <c r="D221" s="2" t="s">
        <v>384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45183.59962963</v>
      </c>
      <c r="B222" s="6" t="n">
        <v>6000</v>
      </c>
      <c r="C222" s="6" t="n">
        <v>6000</v>
      </c>
      <c r="D222" s="2" t="s">
        <v>336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45187</v>
      </c>
      <c r="B223" s="6" t="n">
        <v>200</v>
      </c>
      <c r="C223" s="6" t="n">
        <v>200</v>
      </c>
      <c r="D223" s="2" t="s">
        <v>336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45188</v>
      </c>
      <c r="B224" s="6" t="n">
        <v>-39.39</v>
      </c>
      <c r="C224" s="6" t="n">
        <v>-39.39</v>
      </c>
      <c r="D224" s="2" t="s">
        <v>385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45189</v>
      </c>
      <c r="B225" s="6" t="n">
        <v>-205.94</v>
      </c>
      <c r="C225" s="6" t="n">
        <v>-205.94</v>
      </c>
      <c r="D225" s="2" t="s">
        <v>442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45189</v>
      </c>
      <c r="B226" s="6" t="n">
        <v>-16.48</v>
      </c>
      <c r="C226" s="6" t="n">
        <v>-16.48</v>
      </c>
      <c r="D226" s="2" t="s">
        <v>443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45189.530925926</v>
      </c>
      <c r="B227" s="6" t="n">
        <v>39.39</v>
      </c>
      <c r="C227" s="6" t="n">
        <v>39.39</v>
      </c>
      <c r="D227" s="2" t="s">
        <v>388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45191.532303241</v>
      </c>
      <c r="B228" s="6" t="n">
        <v>205.94</v>
      </c>
      <c r="C228" s="6" t="n">
        <v>205.94</v>
      </c>
      <c r="D228" s="2" t="s">
        <v>348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45191.809525463</v>
      </c>
      <c r="B229" s="6" t="n">
        <v>16.48</v>
      </c>
      <c r="C229" s="6" t="n">
        <v>16.48</v>
      </c>
      <c r="D229" s="2" t="s">
        <v>440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45194</v>
      </c>
      <c r="B230" s="6" t="n">
        <v>-75</v>
      </c>
      <c r="C230" s="6" t="n">
        <v>-75</v>
      </c>
      <c r="D230" s="2" t="s">
        <v>444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45195</v>
      </c>
      <c r="B231" s="6" t="n">
        <v>-21.6</v>
      </c>
      <c r="C231" s="6" t="n">
        <v>-21.6</v>
      </c>
      <c r="D231" s="2" t="s">
        <v>445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45196</v>
      </c>
      <c r="B232" s="6" t="n">
        <v>-59.96</v>
      </c>
      <c r="C232" s="6" t="n">
        <v>-59.96</v>
      </c>
      <c r="D232" s="2" t="s">
        <v>446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45196.421828704</v>
      </c>
      <c r="B233" s="6" t="n">
        <v>75</v>
      </c>
      <c r="C233" s="6" t="n">
        <v>75</v>
      </c>
      <c r="D233" s="2" t="s">
        <v>447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45196.423356481</v>
      </c>
      <c r="B234" s="6" t="n">
        <v>21.6</v>
      </c>
      <c r="C234" s="6" t="n">
        <v>21.6</v>
      </c>
      <c r="D234" s="2" t="s">
        <v>448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45197.764282407</v>
      </c>
      <c r="B235" s="6" t="n">
        <v>59.96</v>
      </c>
      <c r="C235" s="6" t="n">
        <v>59.96</v>
      </c>
      <c r="D235" s="2" t="s">
        <v>390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45198.605358796</v>
      </c>
      <c r="B236" s="6" t="n">
        <v>6000</v>
      </c>
      <c r="C236" s="6" t="n">
        <v>6000</v>
      </c>
      <c r="D236" s="2" t="s">
        <v>336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45203</v>
      </c>
      <c r="B237" s="6" t="n">
        <v>-191.95</v>
      </c>
      <c r="C237" s="6" t="n">
        <v>-191.95</v>
      </c>
      <c r="D237" s="2" t="s">
        <v>449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45203</v>
      </c>
      <c r="B238" s="6" t="n">
        <v>-38.39</v>
      </c>
      <c r="C238" s="6" t="n">
        <v>-38.39</v>
      </c>
      <c r="D238" s="2" t="s">
        <v>391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45204</v>
      </c>
      <c r="B239" s="6" t="n">
        <v>-13.96</v>
      </c>
      <c r="C239" s="6" t="n">
        <v>-13.96</v>
      </c>
      <c r="D239" s="2" t="s">
        <v>450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45204.574386574</v>
      </c>
      <c r="B240" s="6" t="n">
        <v>191.95</v>
      </c>
      <c r="C240" s="6" t="n">
        <v>191.95</v>
      </c>
      <c r="D240" s="2" t="s">
        <v>394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45204.713923611</v>
      </c>
      <c r="B241" s="6" t="n">
        <v>38.39</v>
      </c>
      <c r="C241" s="6" t="n">
        <v>38.39</v>
      </c>
      <c r="D241" s="2" t="s">
        <v>393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45205.486990741</v>
      </c>
      <c r="B242" s="6" t="n">
        <v>13.96</v>
      </c>
      <c r="C242" s="6" t="n">
        <v>13.96</v>
      </c>
      <c r="D242" s="2" t="s">
        <v>341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45209</v>
      </c>
      <c r="B243" s="6" t="n">
        <v>-34.5</v>
      </c>
      <c r="C243" s="6" t="n">
        <v>-34.5</v>
      </c>
      <c r="D243" s="2" t="s">
        <v>451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45210</v>
      </c>
      <c r="B244" s="6" t="n">
        <v>-86.66</v>
      </c>
      <c r="C244" s="6" t="n">
        <v>-86.66</v>
      </c>
      <c r="D244" s="2" t="s">
        <v>452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45210</v>
      </c>
      <c r="B245" s="6" t="n">
        <v>-27.54</v>
      </c>
      <c r="C245" s="6" t="n">
        <v>-27.54</v>
      </c>
      <c r="D245" s="2" t="s">
        <v>453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45211.550127315</v>
      </c>
      <c r="B246" s="6" t="n">
        <v>86.66</v>
      </c>
      <c r="C246" s="6" t="n">
        <v>86.66</v>
      </c>
      <c r="D246" s="2" t="s">
        <v>396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45217</v>
      </c>
      <c r="B247" s="6" t="n">
        <v>-76.3</v>
      </c>
      <c r="C247" s="6" t="n">
        <v>-76.3</v>
      </c>
      <c r="D247" s="2" t="s">
        <v>454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45218.7221875</v>
      </c>
      <c r="B248" s="6" t="n">
        <v>76.3</v>
      </c>
      <c r="C248" s="6" t="n">
        <v>76.3</v>
      </c>
      <c r="D248" s="2" t="s">
        <v>455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45218.773078704</v>
      </c>
      <c r="B249" s="6" t="n">
        <v>5000</v>
      </c>
      <c r="C249" s="6" t="n">
        <v>5000</v>
      </c>
      <c r="D249" s="2" t="s">
        <v>336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45220</v>
      </c>
      <c r="B250" s="6" t="n">
        <v>-22.56</v>
      </c>
      <c r="C250" s="6" t="n">
        <v>-22.56</v>
      </c>
      <c r="D250" s="2" t="s">
        <v>456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45223.662025463</v>
      </c>
      <c r="B251" s="6" t="n">
        <v>22.56</v>
      </c>
      <c r="C251" s="6" t="n">
        <v>22.56</v>
      </c>
      <c r="D251" s="2" t="s">
        <v>440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45224</v>
      </c>
      <c r="B252" s="6" t="n">
        <v>-27.78</v>
      </c>
      <c r="C252" s="6" t="n">
        <v>-27.78</v>
      </c>
      <c r="D252" s="2" t="s">
        <v>457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45224</v>
      </c>
      <c r="B253" s="6" t="n">
        <v>-31.64</v>
      </c>
      <c r="C253" s="6" t="n">
        <v>-31.64</v>
      </c>
      <c r="D253" s="2" t="s">
        <v>458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45224.833194444</v>
      </c>
      <c r="B254" s="6" t="n">
        <v>34.5</v>
      </c>
      <c r="C254" s="6" t="n">
        <v>34.5</v>
      </c>
      <c r="D254" s="2" t="s">
        <v>353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45225.501446759</v>
      </c>
      <c r="B255" s="6" t="n">
        <v>27.78</v>
      </c>
      <c r="C255" s="6" t="n">
        <v>27.78</v>
      </c>
      <c r="D255" s="2" t="s">
        <v>344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45225.530497685</v>
      </c>
      <c r="B256" s="6" t="n">
        <v>31.64</v>
      </c>
      <c r="C256" s="6" t="n">
        <v>31.64</v>
      </c>
      <c r="D256" s="2" t="s">
        <v>459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45225.689537037</v>
      </c>
      <c r="B257" s="6" t="n">
        <v>27.54</v>
      </c>
      <c r="C257" s="6" t="n">
        <v>27.54</v>
      </c>
      <c r="D257" s="2" t="s">
        <v>356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45230</v>
      </c>
      <c r="B258" s="6" t="n">
        <v>-28.22</v>
      </c>
      <c r="C258" s="6" t="n">
        <v>-28.22</v>
      </c>
      <c r="D258" s="2" t="s">
        <v>373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45231</v>
      </c>
      <c r="B259" s="6" t="n">
        <v>-28.73</v>
      </c>
      <c r="C259" s="6" t="n">
        <v>-28.73</v>
      </c>
      <c r="D259" s="2" t="s">
        <v>460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45231.50306713</v>
      </c>
      <c r="B260" s="6" t="n">
        <v>28.22</v>
      </c>
      <c r="C260" s="6" t="n">
        <v>28.22</v>
      </c>
      <c r="D260" s="2" t="s">
        <v>376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45232</v>
      </c>
      <c r="B261" s="6" t="n">
        <v>-42.38</v>
      </c>
      <c r="C261" s="6" t="n">
        <v>-42.38</v>
      </c>
      <c r="D261" s="2" t="s">
        <v>357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45232.572303241</v>
      </c>
      <c r="B262" s="6" t="n">
        <v>28.73</v>
      </c>
      <c r="C262" s="6" t="n">
        <v>28.73</v>
      </c>
      <c r="D262" s="2" t="s">
        <v>461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45233.52806713</v>
      </c>
      <c r="B263" s="6" t="n">
        <v>42.38</v>
      </c>
      <c r="C263" s="6" t="n">
        <v>42.38</v>
      </c>
      <c r="D263" s="2" t="s">
        <v>358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45237.711168981</v>
      </c>
      <c r="B264" s="6" t="n">
        <v>5000</v>
      </c>
      <c r="C264" s="6" t="n">
        <v>5000</v>
      </c>
      <c r="D264" s="2" t="s">
        <v>336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45244.530613426</v>
      </c>
      <c r="B265" s="6" t="n">
        <v>6200</v>
      </c>
      <c r="C265" s="6" t="n">
        <v>6200</v>
      </c>
      <c r="D265" s="2" t="s">
        <v>336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45245</v>
      </c>
      <c r="B266" s="6" t="n">
        <v>-130.29</v>
      </c>
      <c r="C266" s="6" t="n">
        <v>-130.29</v>
      </c>
      <c r="D266" s="2" t="s">
        <v>462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45246.614259259</v>
      </c>
      <c r="B267" s="6" t="n">
        <v>130.29</v>
      </c>
      <c r="C267" s="6" t="n">
        <v>130.29</v>
      </c>
      <c r="D267" s="2" t="s">
        <v>360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45250</v>
      </c>
      <c r="B268" s="6" t="n">
        <v>-64.82</v>
      </c>
      <c r="C268" s="6" t="n">
        <v>-64.82</v>
      </c>
      <c r="D268" s="2" t="s">
        <v>438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45251</v>
      </c>
      <c r="B269" s="6" t="n">
        <v>-250</v>
      </c>
      <c r="C269" s="6" t="n">
        <v>-250</v>
      </c>
      <c r="D269" s="2" t="s">
        <v>361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45251</v>
      </c>
      <c r="B270" s="6" t="n">
        <v>-23.86</v>
      </c>
      <c r="C270" s="6" t="n">
        <v>-23.86</v>
      </c>
      <c r="D270" s="2" t="s">
        <v>463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45251.628472222</v>
      </c>
      <c r="B271" s="6" t="n">
        <v>64.82</v>
      </c>
      <c r="C271" s="6" t="n">
        <v>64.82</v>
      </c>
      <c r="D271" s="2" t="s">
        <v>403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45252</v>
      </c>
      <c r="B272" s="6" t="n">
        <v>-89.8</v>
      </c>
      <c r="C272" s="6" t="n">
        <v>-89.8</v>
      </c>
      <c r="D272" s="2" t="s">
        <v>464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45252</v>
      </c>
      <c r="B273" s="6" t="n">
        <v>-10.72</v>
      </c>
      <c r="C273" s="6" t="n">
        <v>-10.72</v>
      </c>
      <c r="D273" s="2" t="s">
        <v>382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45252</v>
      </c>
      <c r="B274" s="6" t="n">
        <v>-216.9</v>
      </c>
      <c r="C274" s="6" t="n">
        <v>-216.9</v>
      </c>
      <c r="D274" s="2" t="s">
        <v>465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45253</v>
      </c>
      <c r="B275" s="6" t="n">
        <v>-10.83</v>
      </c>
      <c r="C275" s="6" t="n">
        <v>-10.83</v>
      </c>
      <c r="D275" s="2" t="s">
        <v>405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45254.504583333</v>
      </c>
      <c r="B276" s="6" t="n">
        <v>23.86</v>
      </c>
      <c r="C276" s="6" t="n">
        <v>23.86</v>
      </c>
      <c r="D276" s="2" t="s">
        <v>440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45254.756527778</v>
      </c>
      <c r="B277" s="6" t="n">
        <v>250</v>
      </c>
      <c r="C277" s="6" t="n">
        <v>250</v>
      </c>
      <c r="D277" s="2" t="s">
        <v>363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45254.761284722</v>
      </c>
      <c r="B278" s="6" t="n">
        <v>10.72</v>
      </c>
      <c r="C278" s="6" t="n">
        <v>10.72</v>
      </c>
      <c r="D278" s="2" t="s">
        <v>338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45257.499155093</v>
      </c>
      <c r="B279" s="6" t="n">
        <v>216.9</v>
      </c>
      <c r="C279" s="6" t="n">
        <v>216.9</v>
      </c>
      <c r="D279" s="2" t="s">
        <v>364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45257.56849537</v>
      </c>
      <c r="B280" s="6" t="n">
        <v>89.8</v>
      </c>
      <c r="C280" s="6" t="n">
        <v>89.8</v>
      </c>
      <c r="D280" s="2" t="s">
        <v>466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45258.448344907</v>
      </c>
      <c r="B281" s="6" t="n">
        <v>10.83</v>
      </c>
      <c r="C281" s="6" t="n">
        <v>10.83</v>
      </c>
      <c r="D281" s="2" t="s">
        <v>408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45261</v>
      </c>
      <c r="B282" s="6" t="n">
        <v>-24.81</v>
      </c>
      <c r="C282" s="6" t="n">
        <v>-24.81</v>
      </c>
      <c r="D282" s="2" t="s">
        <v>365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45261</v>
      </c>
      <c r="B283" s="6" t="n">
        <v>-108.93</v>
      </c>
      <c r="C283" s="6" t="n">
        <v>-108.93</v>
      </c>
      <c r="D283" s="2" t="s">
        <v>467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45265</v>
      </c>
      <c r="B284" s="6" t="n">
        <v>-56.1</v>
      </c>
      <c r="C284" s="6" t="n">
        <v>-56.1</v>
      </c>
      <c r="D284" s="2" t="s">
        <v>468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45265.48869213</v>
      </c>
      <c r="B285" s="6" t="n">
        <v>24.81</v>
      </c>
      <c r="C285" s="6" t="n">
        <v>24.81</v>
      </c>
      <c r="D285" s="2" t="s">
        <v>366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45266</v>
      </c>
      <c r="B286" s="6" t="n">
        <v>-32.66</v>
      </c>
      <c r="C286" s="6" t="n">
        <v>-32.66</v>
      </c>
      <c r="D286" s="2" t="s">
        <v>410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45266</v>
      </c>
      <c r="B287" s="6" t="n">
        <v>-135.33</v>
      </c>
      <c r="C287" s="6" t="n">
        <v>-135.33</v>
      </c>
      <c r="D287" s="2" t="s">
        <v>469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45266</v>
      </c>
      <c r="B288" s="6" t="n">
        <v>-389.4</v>
      </c>
      <c r="C288" s="6" t="n">
        <v>-389.4</v>
      </c>
      <c r="D288" s="2" t="s">
        <v>470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45266</v>
      </c>
      <c r="B289" s="6" t="n">
        <v>-19.87</v>
      </c>
      <c r="C289" s="6" t="n">
        <v>-19.87</v>
      </c>
      <c r="D289" s="2" t="s">
        <v>367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45266.542604167</v>
      </c>
      <c r="B290" s="6" t="n">
        <v>56.1</v>
      </c>
      <c r="C290" s="6" t="n">
        <v>56.1</v>
      </c>
      <c r="D290" s="2" t="s">
        <v>471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45267</v>
      </c>
      <c r="B291" s="6" t="n">
        <v>11200</v>
      </c>
      <c r="C291" s="6" t="n">
        <v>11200</v>
      </c>
      <c r="D291" s="2" t="s">
        <v>336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45268.514965278</v>
      </c>
      <c r="B292" s="6" t="n">
        <v>389.4</v>
      </c>
      <c r="C292" s="6" t="n">
        <v>389.4</v>
      </c>
      <c r="D292" s="2" t="s">
        <v>413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45268.545138889</v>
      </c>
      <c r="B293" s="6" t="n">
        <v>135.33</v>
      </c>
      <c r="C293" s="6" t="n">
        <v>135.33</v>
      </c>
      <c r="D293" s="2" t="s">
        <v>472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45268.741493056</v>
      </c>
      <c r="B294" s="6" t="n">
        <v>19.87</v>
      </c>
      <c r="C294" s="6" t="n">
        <v>19.87</v>
      </c>
      <c r="D294" s="2" t="s">
        <v>368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45268.742384259</v>
      </c>
      <c r="B295" s="6" t="n">
        <v>32.66</v>
      </c>
      <c r="C295" s="6" t="n">
        <v>32.66</v>
      </c>
      <c r="D295" s="2" t="s">
        <v>412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45271</v>
      </c>
      <c r="B296" s="6" t="n">
        <v>-35</v>
      </c>
      <c r="C296" s="6" t="n">
        <v>-35</v>
      </c>
      <c r="D296" s="2" t="s">
        <v>473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45272</v>
      </c>
      <c r="B297" s="6" t="n">
        <v>-31.3</v>
      </c>
      <c r="C297" s="6" t="n">
        <v>-31.3</v>
      </c>
      <c r="D297" s="2" t="s">
        <v>414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45273</v>
      </c>
      <c r="B298" s="6" t="n">
        <v>31.3</v>
      </c>
      <c r="C298" s="6" t="n">
        <v>31.3</v>
      </c>
      <c r="D298" s="2" t="s">
        <v>415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45273</v>
      </c>
      <c r="B299" s="6" t="n">
        <v>35</v>
      </c>
      <c r="C299" s="6" t="n">
        <v>35</v>
      </c>
      <c r="D299" s="2" t="s">
        <v>474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45278.504375</v>
      </c>
      <c r="B300" s="6" t="n">
        <v>108.93</v>
      </c>
      <c r="C300" s="6" t="n">
        <v>108.93</v>
      </c>
      <c r="D300" s="2" t="s">
        <v>475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45280</v>
      </c>
      <c r="B301" s="6" t="n">
        <v>-131.94</v>
      </c>
      <c r="C301" s="6" t="n">
        <v>-131.94</v>
      </c>
      <c r="D301" s="2" t="s">
        <v>476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45281.695243056</v>
      </c>
      <c r="B302" s="6" t="n">
        <v>131.94</v>
      </c>
      <c r="C302" s="6" t="n">
        <v>131.94</v>
      </c>
      <c r="D302" s="2" t="s">
        <v>370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45282</v>
      </c>
      <c r="B303" s="6" t="n">
        <v>-25.92</v>
      </c>
      <c r="C303" s="6" t="n">
        <v>-25.92</v>
      </c>
      <c r="D303" s="2" t="s">
        <v>477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45285</v>
      </c>
      <c r="B304" s="6" t="n">
        <v>-75</v>
      </c>
      <c r="C304" s="6" t="n">
        <v>-75</v>
      </c>
      <c r="D304" s="2" t="s">
        <v>444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45285.746041667</v>
      </c>
      <c r="B305" s="6" t="n">
        <v>25.92</v>
      </c>
      <c r="C305" s="6" t="n">
        <v>25.92</v>
      </c>
      <c r="D305" s="2" t="s">
        <v>440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45286</v>
      </c>
      <c r="B306" s="6" t="n">
        <v>-19.63</v>
      </c>
      <c r="C306" s="6" t="n">
        <v>-19.63</v>
      </c>
      <c r="D306" s="2" t="s">
        <v>478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45288</v>
      </c>
      <c r="B307" s="6" t="n">
        <v>75</v>
      </c>
      <c r="C307" s="6" t="n">
        <v>75</v>
      </c>
      <c r="D307" s="2" t="s">
        <v>447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45288</v>
      </c>
      <c r="B308" s="6" t="n">
        <v>19.63</v>
      </c>
      <c r="C308" s="6" t="n">
        <v>19.63</v>
      </c>
      <c r="D308" s="2" t="s">
        <v>448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45289</v>
      </c>
      <c r="B309" s="6" t="n">
        <v>-65.82</v>
      </c>
      <c r="C309" s="6" t="n">
        <v>-65.82</v>
      </c>
      <c r="D309" s="2" t="s">
        <v>479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45295</v>
      </c>
      <c r="B310" s="6" t="n">
        <v>-13.96</v>
      </c>
      <c r="C310" s="6" t="n">
        <v>-13.96</v>
      </c>
      <c r="D310" s="2" t="s">
        <v>450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45300</v>
      </c>
      <c r="B311" s="6" t="n">
        <v>-35.17</v>
      </c>
      <c r="C311" s="6" t="n">
        <v>-35.17</v>
      </c>
      <c r="D311" s="2" t="s">
        <v>480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45300.855428241</v>
      </c>
      <c r="B312" s="6" t="n">
        <v>65.82</v>
      </c>
      <c r="C312" s="6" t="n">
        <v>65.82</v>
      </c>
      <c r="D312" s="2" t="s">
        <v>481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45302.745868056</v>
      </c>
      <c r="B313" s="6" t="n">
        <v>13.96</v>
      </c>
      <c r="C313" s="6" t="n">
        <v>13.96</v>
      </c>
      <c r="D313" s="2" t="s">
        <v>341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45303.532418981</v>
      </c>
      <c r="B314" s="6" t="n">
        <v>5800</v>
      </c>
      <c r="C314" s="6" t="n">
        <v>5800</v>
      </c>
      <c r="D314" s="2" t="s">
        <v>336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45303.533240741</v>
      </c>
      <c r="B315" s="6" t="n">
        <v>5000</v>
      </c>
      <c r="C315" s="6" t="n">
        <v>5000</v>
      </c>
      <c r="D315" s="2" t="s">
        <v>336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45308</v>
      </c>
      <c r="B316" s="6" t="n">
        <v>-44.88</v>
      </c>
      <c r="C316" s="6" t="n">
        <v>-44.88</v>
      </c>
      <c r="D316" s="2" t="s">
        <v>482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45309</v>
      </c>
      <c r="B317" s="6" t="n">
        <v>44.88</v>
      </c>
      <c r="C317" s="6" t="n">
        <v>44.88</v>
      </c>
      <c r="D317" s="2" t="s">
        <v>483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45313</v>
      </c>
      <c r="B318" s="6" t="n">
        <v>-27.98</v>
      </c>
      <c r="C318" s="6" t="n">
        <v>-27.98</v>
      </c>
      <c r="D318" s="2" t="s">
        <v>484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45314</v>
      </c>
      <c r="B319" s="6" t="n">
        <v>-34.28</v>
      </c>
      <c r="C319" s="6" t="n">
        <v>-34.28</v>
      </c>
      <c r="D319" s="2" t="s">
        <v>485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45314.707534722</v>
      </c>
      <c r="B320" s="6" t="n">
        <v>27.98</v>
      </c>
      <c r="C320" s="6" t="n">
        <v>27.98</v>
      </c>
      <c r="D320" s="2" t="s">
        <v>440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45315</v>
      </c>
      <c r="B321" s="6" t="n">
        <v>-40.7</v>
      </c>
      <c r="C321" s="6" t="n">
        <v>-40.7</v>
      </c>
      <c r="D321" s="2" t="s">
        <v>486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45315</v>
      </c>
      <c r="B322" s="6" t="n">
        <v>-36.81</v>
      </c>
      <c r="C322" s="6" t="n">
        <v>-36.81</v>
      </c>
      <c r="D322" s="2" t="s">
        <v>487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45315</v>
      </c>
      <c r="B323" s="6" t="n">
        <v>-43.38</v>
      </c>
      <c r="C323" s="6" t="n">
        <v>-43.38</v>
      </c>
      <c r="D323" s="2" t="s">
        <v>425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45315.496770833</v>
      </c>
      <c r="B324" s="6" t="n">
        <v>34.28</v>
      </c>
      <c r="C324" s="6" t="n">
        <v>34.28</v>
      </c>
      <c r="D324" s="2" t="s">
        <v>488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45315.680023148</v>
      </c>
      <c r="B325" s="6" t="n">
        <v>35.17</v>
      </c>
      <c r="C325" s="6" t="n">
        <v>35.17</v>
      </c>
      <c r="D325" s="2" t="s">
        <v>356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45316.591030093</v>
      </c>
      <c r="B326" s="6" t="n">
        <v>36.81</v>
      </c>
      <c r="C326" s="6" t="n">
        <v>36.81</v>
      </c>
      <c r="D326" s="2" t="s">
        <v>344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45316.76494213</v>
      </c>
      <c r="B327" s="6" t="n">
        <v>43.38</v>
      </c>
      <c r="C327" s="6" t="n">
        <v>43.38</v>
      </c>
      <c r="D327" s="2" t="s">
        <v>428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45316.778333333</v>
      </c>
      <c r="B328" s="6" t="n">
        <v>40.7</v>
      </c>
      <c r="C328" s="6" t="n">
        <v>40.7</v>
      </c>
      <c r="D328" s="2" t="s">
        <v>459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45317</v>
      </c>
      <c r="B329" s="6" t="n">
        <v>-47.12</v>
      </c>
      <c r="C329" s="6" t="n">
        <v>-47.12</v>
      </c>
      <c r="D329" s="2" t="s">
        <v>489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45320.638599537</v>
      </c>
      <c r="B330" s="6" t="n">
        <v>47.12</v>
      </c>
      <c r="C330" s="6" t="n">
        <v>47.12</v>
      </c>
      <c r="D330" s="2" t="s">
        <v>490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45321</v>
      </c>
      <c r="B331" s="6" t="n">
        <v>-28.22</v>
      </c>
      <c r="C331" s="6" t="n">
        <v>-28.22</v>
      </c>
      <c r="D331" s="2" t="s">
        <v>373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45322</v>
      </c>
      <c r="B332" s="6" t="n">
        <v>-608.4</v>
      </c>
      <c r="C332" s="6" t="n">
        <v>-608.4</v>
      </c>
      <c r="D332" s="2" t="s">
        <v>491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45322</v>
      </c>
      <c r="B333" s="6" t="n">
        <v>-42.53</v>
      </c>
      <c r="C333" s="6" t="n">
        <v>-42.53</v>
      </c>
      <c r="D333" s="2" t="s">
        <v>492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45322</v>
      </c>
      <c r="B334" s="6" t="n">
        <v>-37.33</v>
      </c>
      <c r="C334" s="6" t="n">
        <v>-37.33</v>
      </c>
      <c r="D334" s="2" t="s">
        <v>493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45323</v>
      </c>
      <c r="B335" s="6" t="n">
        <v>28.22</v>
      </c>
      <c r="C335" s="6" t="n">
        <v>28.22</v>
      </c>
      <c r="D335" s="2" t="s">
        <v>376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45323.555613426</v>
      </c>
      <c r="B336" s="6" t="n">
        <v>608.4</v>
      </c>
      <c r="C336" s="6" t="n">
        <v>608.4</v>
      </c>
      <c r="D336" s="2" t="s">
        <v>346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45323.564907407</v>
      </c>
      <c r="B337" s="6" t="n">
        <v>37.33</v>
      </c>
      <c r="C337" s="6" t="n">
        <v>37.33</v>
      </c>
      <c r="D337" s="2" t="s">
        <v>461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45323.606354167</v>
      </c>
      <c r="B338" s="6" t="n">
        <v>42.53</v>
      </c>
      <c r="C338" s="6" t="n">
        <v>42.53</v>
      </c>
      <c r="D338" s="2" t="s">
        <v>377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45324</v>
      </c>
      <c r="B339" s="6" t="n">
        <v>11200</v>
      </c>
      <c r="C339" s="6" t="n">
        <v>11200</v>
      </c>
      <c r="D339" s="2" t="s">
        <v>336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45325</v>
      </c>
      <c r="B340" s="6" t="n">
        <v>-53.1</v>
      </c>
      <c r="C340" s="6" t="n">
        <v>-53.1</v>
      </c>
      <c r="D340" s="2" t="s">
        <v>434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45329</v>
      </c>
      <c r="B341" s="6" t="n">
        <v>53.1</v>
      </c>
      <c r="C341" s="6" t="n">
        <v>53.1</v>
      </c>
      <c r="D341" s="2" t="s">
        <v>379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45336</v>
      </c>
      <c r="B342" s="6" t="n">
        <v>-418.8</v>
      </c>
      <c r="C342" s="6" t="n">
        <v>-418.8</v>
      </c>
      <c r="D342" s="2" t="s">
        <v>494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45337.5221875</v>
      </c>
      <c r="B343" s="6" t="n">
        <v>418.8</v>
      </c>
      <c r="C343" s="6" t="n">
        <v>418.8</v>
      </c>
      <c r="D343" s="2" t="s">
        <v>381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45338</v>
      </c>
      <c r="B344" s="6" t="n">
        <v>-51.61</v>
      </c>
      <c r="C344" s="6" t="n">
        <v>-51.61</v>
      </c>
      <c r="D344" s="2" t="s">
        <v>436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45341</v>
      </c>
      <c r="B345" s="6" t="n">
        <v>-64.82</v>
      </c>
      <c r="C345" s="6" t="n">
        <v>-64.82</v>
      </c>
      <c r="D345" s="2" t="s">
        <v>438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45341.639548611</v>
      </c>
      <c r="B346" s="6" t="n">
        <v>51.61</v>
      </c>
      <c r="C346" s="6" t="n">
        <v>51.61</v>
      </c>
      <c r="D346" s="2" t="s">
        <v>439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45342.490011574</v>
      </c>
      <c r="B347" s="6" t="n">
        <v>64.82</v>
      </c>
      <c r="C347" s="6" t="n">
        <v>64.82</v>
      </c>
      <c r="D347" s="2" t="s">
        <v>403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45343</v>
      </c>
      <c r="B348" s="6" t="n">
        <v>-5.36</v>
      </c>
      <c r="C348" s="6" t="n">
        <v>-5.36</v>
      </c>
      <c r="D348" s="2" t="s">
        <v>495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45343</v>
      </c>
      <c r="B349" s="6" t="n">
        <v>-125</v>
      </c>
      <c r="C349" s="6" t="n">
        <v>-125</v>
      </c>
      <c r="D349" s="2" t="s">
        <v>496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45344</v>
      </c>
      <c r="B350" s="6" t="n">
        <v>-10.83</v>
      </c>
      <c r="C350" s="6" t="n">
        <v>-10.83</v>
      </c>
      <c r="D350" s="2" t="s">
        <v>405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45344</v>
      </c>
      <c r="B351" s="6" t="n">
        <v>-28.6</v>
      </c>
      <c r="C351" s="6" t="n">
        <v>-28.6</v>
      </c>
      <c r="D351" s="2" t="s">
        <v>497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45344.564074074</v>
      </c>
      <c r="B352" s="6" t="n">
        <v>5.36</v>
      </c>
      <c r="C352" s="6" t="n">
        <v>5.36</v>
      </c>
      <c r="D352" s="2" t="s">
        <v>338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45348.507766204</v>
      </c>
      <c r="B353" s="6" t="n">
        <v>125</v>
      </c>
      <c r="C353" s="6" t="n">
        <v>125</v>
      </c>
      <c r="D353" s="2" t="s">
        <v>498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45348.508842593</v>
      </c>
      <c r="B354" s="6" t="n">
        <v>10.83</v>
      </c>
      <c r="C354" s="6" t="n">
        <v>10.83</v>
      </c>
      <c r="D354" s="2" t="s">
        <v>408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45348.536018519</v>
      </c>
      <c r="B355" s="6" t="n">
        <v>28.6</v>
      </c>
      <c r="C355" s="6" t="n">
        <v>28.6</v>
      </c>
      <c r="D355" s="2" t="s">
        <v>440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45351.541527778</v>
      </c>
      <c r="B356" s="6" t="n">
        <v>11000</v>
      </c>
      <c r="C356" s="6" t="n">
        <v>11000</v>
      </c>
      <c r="D356" s="2" t="s">
        <v>336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45352</v>
      </c>
      <c r="B357" s="6" t="n">
        <v>-24.81</v>
      </c>
      <c r="C357" s="6" t="n">
        <v>-24.81</v>
      </c>
      <c r="D357" s="2" t="s">
        <v>365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45355.568275463</v>
      </c>
      <c r="B358" s="6" t="n">
        <v>24.81</v>
      </c>
      <c r="C358" s="6" t="n">
        <v>24.81</v>
      </c>
      <c r="D358" s="2" t="s">
        <v>366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45356.416666667</v>
      </c>
      <c r="B359" s="6" t="n">
        <v>-16605</v>
      </c>
      <c r="C359" s="6" t="n">
        <v>0</v>
      </c>
      <c r="D359" s="2" t="s">
        <v>386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45356.5375</v>
      </c>
      <c r="B360" s="6" t="n">
        <v>16605</v>
      </c>
      <c r="C360" s="6" t="n">
        <v>16605</v>
      </c>
      <c r="D360" s="2" t="s">
        <v>336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45357</v>
      </c>
      <c r="B361" s="6" t="n">
        <v>-67</v>
      </c>
      <c r="C361" s="6" t="n">
        <v>-67</v>
      </c>
      <c r="D361" s="2" t="s">
        <v>499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45357</v>
      </c>
      <c r="B362" s="6" t="n">
        <v>-45.97</v>
      </c>
      <c r="C362" s="6" t="n">
        <v>-45.97</v>
      </c>
      <c r="D362" s="2" t="s">
        <v>500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45357</v>
      </c>
      <c r="B363" s="6" t="n">
        <v>-19.87</v>
      </c>
      <c r="C363" s="6" t="n">
        <v>-19.87</v>
      </c>
      <c r="D363" s="2" t="s">
        <v>367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45358</v>
      </c>
      <c r="B364" s="6" t="n">
        <v>-14.76</v>
      </c>
      <c r="C364" s="6" t="n">
        <v>-14.76</v>
      </c>
      <c r="D364" s="2" t="s">
        <v>501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45358.550046296</v>
      </c>
      <c r="B365" s="6" t="n">
        <v>19.87</v>
      </c>
      <c r="C365" s="6" t="n">
        <v>19.87</v>
      </c>
      <c r="D365" s="2" t="s">
        <v>368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45358.579421296</v>
      </c>
      <c r="B366" s="6" t="n">
        <v>45.97</v>
      </c>
      <c r="C366" s="6" t="n">
        <v>45.97</v>
      </c>
      <c r="D366" s="2" t="s">
        <v>384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45362.513171296</v>
      </c>
      <c r="B367" s="6" t="n">
        <v>67</v>
      </c>
      <c r="C367" s="6" t="n">
        <v>67</v>
      </c>
      <c r="D367" s="2" t="s">
        <v>502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45362.515856481</v>
      </c>
      <c r="B368" s="6" t="n">
        <v>14.76</v>
      </c>
      <c r="C368" s="6" t="n">
        <v>14.76</v>
      </c>
      <c r="D368" s="2" t="s">
        <v>503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45370</v>
      </c>
      <c r="B369" s="6" t="n">
        <v>-39.39</v>
      </c>
      <c r="C369" s="6" t="n">
        <v>-39.39</v>
      </c>
      <c r="D369" s="2" t="s">
        <v>385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45371</v>
      </c>
      <c r="B370" s="6" t="n">
        <v>-235.36</v>
      </c>
      <c r="C370" s="6" t="n">
        <v>-235.36</v>
      </c>
      <c r="D370" s="2" t="s">
        <v>504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45371.575219907</v>
      </c>
      <c r="B371" s="6" t="n">
        <v>39.39</v>
      </c>
      <c r="C371" s="6" t="n">
        <v>39.39</v>
      </c>
      <c r="D371" s="2" t="s">
        <v>388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45372</v>
      </c>
      <c r="B372" s="6" t="n">
        <v>-14.54</v>
      </c>
      <c r="C372" s="6" t="n">
        <v>-14.54</v>
      </c>
      <c r="D372" s="2" t="s">
        <v>505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45372.466666667</v>
      </c>
      <c r="B373" s="6" t="n">
        <v>235.36</v>
      </c>
      <c r="C373" s="6" t="n">
        <v>235.36</v>
      </c>
      <c r="D373" s="2" t="s">
        <v>348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45373.537708333</v>
      </c>
      <c r="B374" s="6" t="n">
        <v>14.54</v>
      </c>
      <c r="C374" s="6" t="n">
        <v>14.54</v>
      </c>
      <c r="D374" s="2" t="s">
        <v>506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45375</v>
      </c>
      <c r="B375" s="6" t="n">
        <v>-29.5</v>
      </c>
      <c r="C375" s="6" t="n">
        <v>-29.5</v>
      </c>
      <c r="D375" s="2" t="s">
        <v>507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45376</v>
      </c>
      <c r="B376" s="6" t="n">
        <v>-75</v>
      </c>
      <c r="C376" s="6" t="n">
        <v>-75</v>
      </c>
      <c r="D376" s="2" t="s">
        <v>444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45377</v>
      </c>
      <c r="B377" s="6" t="n">
        <v>-17.67</v>
      </c>
      <c r="C377" s="6" t="n">
        <v>-17.67</v>
      </c>
      <c r="D377" s="2" t="s">
        <v>508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45377</v>
      </c>
      <c r="B378" s="6" t="n">
        <v>-44.09</v>
      </c>
      <c r="C378" s="6" t="n">
        <v>-44.09</v>
      </c>
      <c r="D378" s="2" t="s">
        <v>509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45377.668043981</v>
      </c>
      <c r="B379" s="6" t="n">
        <v>29.5</v>
      </c>
      <c r="C379" s="6" t="n">
        <v>29.5</v>
      </c>
      <c r="D379" s="2" t="s">
        <v>440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45378</v>
      </c>
      <c r="B380" s="6" t="n">
        <v>-62.64</v>
      </c>
      <c r="C380" s="6" t="n">
        <v>-62.64</v>
      </c>
      <c r="D380" s="2" t="s">
        <v>510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45378</v>
      </c>
      <c r="B381" s="6" t="n">
        <v>-189.88</v>
      </c>
      <c r="C381" s="6" t="n">
        <v>-189.88</v>
      </c>
      <c r="D381" s="2" t="s">
        <v>511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45378</v>
      </c>
      <c r="B382" s="6" t="n">
        <v>-84.76</v>
      </c>
      <c r="C382" s="6" t="n">
        <v>-84.76</v>
      </c>
      <c r="D382" s="2" t="s">
        <v>512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45378.456585648</v>
      </c>
      <c r="B383" s="6" t="n">
        <v>75</v>
      </c>
      <c r="C383" s="6" t="n">
        <v>75</v>
      </c>
      <c r="D383" s="2" t="s">
        <v>447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45378.458136574</v>
      </c>
      <c r="B384" s="6" t="n">
        <v>17.67</v>
      </c>
      <c r="C384" s="6" t="n">
        <v>17.67</v>
      </c>
      <c r="D384" s="2" t="s">
        <v>448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45379.431782407</v>
      </c>
      <c r="B385" s="6" t="n">
        <v>189.88</v>
      </c>
      <c r="C385" s="6" t="n">
        <v>189.88</v>
      </c>
      <c r="D385" s="2" t="s">
        <v>513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45379.552268519</v>
      </c>
      <c r="B386" s="6" t="n">
        <v>84.76</v>
      </c>
      <c r="C386" s="6" t="n">
        <v>84.76</v>
      </c>
      <c r="D386" s="2" t="s">
        <v>514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45379.736527778</v>
      </c>
      <c r="B387" s="6" t="n">
        <v>62.64</v>
      </c>
      <c r="C387" s="6" t="n">
        <v>62.64</v>
      </c>
      <c r="D387" s="2" t="s">
        <v>390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45385</v>
      </c>
      <c r="B388" s="6" t="n">
        <v>-499.07</v>
      </c>
      <c r="C388" s="6" t="n">
        <v>-499.07</v>
      </c>
      <c r="D388" s="2" t="s">
        <v>515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45385</v>
      </c>
      <c r="B389" s="6" t="n">
        <v>-76.78</v>
      </c>
      <c r="C389" s="6" t="n">
        <v>-76.78</v>
      </c>
      <c r="D389" s="2" t="s">
        <v>516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45386</v>
      </c>
      <c r="B390" s="6" t="n">
        <v>-13.96</v>
      </c>
      <c r="C390" s="6" t="n">
        <v>-13.96</v>
      </c>
      <c r="D390" s="2" t="s">
        <v>450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45386.43275463</v>
      </c>
      <c r="B391" s="6" t="n">
        <v>499.07</v>
      </c>
      <c r="C391" s="6" t="n">
        <v>499.07</v>
      </c>
      <c r="D391" s="2" t="s">
        <v>394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45386.463101852</v>
      </c>
      <c r="B392" s="6" t="n">
        <v>76.78</v>
      </c>
      <c r="C392" s="6" t="n">
        <v>76.78</v>
      </c>
      <c r="D392" s="2" t="s">
        <v>393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45387.659733796</v>
      </c>
      <c r="B393" s="6" t="n">
        <v>11200</v>
      </c>
      <c r="C393" s="6" t="n">
        <v>11200</v>
      </c>
      <c r="D393" s="2" t="s">
        <v>336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45387.660428241</v>
      </c>
      <c r="B394" s="6" t="n">
        <v>13.96</v>
      </c>
      <c r="C394" s="6" t="n">
        <v>13.96</v>
      </c>
      <c r="D394" s="2" t="s">
        <v>341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45392</v>
      </c>
      <c r="B395" s="6" t="n">
        <v>-102.62</v>
      </c>
      <c r="C395" s="6" t="n">
        <v>-102.62</v>
      </c>
      <c r="D395" s="2" t="s">
        <v>517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45393.534456019</v>
      </c>
      <c r="B396" s="6" t="n">
        <v>44.09</v>
      </c>
      <c r="C396" s="6" t="n">
        <v>44.09</v>
      </c>
      <c r="D396" s="2" t="s">
        <v>518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45394</v>
      </c>
      <c r="B397" s="6" t="n">
        <v>102.62</v>
      </c>
      <c r="C397" s="6" t="n">
        <v>102.62</v>
      </c>
      <c r="D397" s="2" t="s">
        <v>396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45399</v>
      </c>
      <c r="B398" s="6" t="n">
        <v>-190.75</v>
      </c>
      <c r="C398" s="6" t="n">
        <v>-190.75</v>
      </c>
      <c r="D398" s="2" t="s">
        <v>519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45400.511331019</v>
      </c>
      <c r="B399" s="6" t="n">
        <v>190.75</v>
      </c>
      <c r="C399" s="6" t="n">
        <v>190.75</v>
      </c>
      <c r="D399" s="2" t="s">
        <v>455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45403</v>
      </c>
      <c r="B400" s="6" t="n">
        <v>-14.43</v>
      </c>
      <c r="C400" s="6" t="n">
        <v>-14.43</v>
      </c>
      <c r="D400" s="2" t="s">
        <v>520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45405</v>
      </c>
      <c r="B401" s="6" t="n">
        <v>-34.28</v>
      </c>
      <c r="C401" s="6" t="n">
        <v>-34.28</v>
      </c>
      <c r="D401" s="2" t="s">
        <v>485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45405</v>
      </c>
      <c r="B402" s="6" t="n">
        <v>-1000</v>
      </c>
      <c r="C402" s="6" t="n">
        <v>-1000</v>
      </c>
      <c r="D402" s="2" t="s">
        <v>521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45405.559131944</v>
      </c>
      <c r="B403" s="6" t="n">
        <v>14.43</v>
      </c>
      <c r="C403" s="6" t="n">
        <v>14.43</v>
      </c>
      <c r="D403" s="2" t="s">
        <v>506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45406</v>
      </c>
      <c r="B404" s="6" t="n">
        <v>-39.13</v>
      </c>
      <c r="C404" s="6" t="n">
        <v>-39.13</v>
      </c>
      <c r="D404" s="2" t="s">
        <v>522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45406</v>
      </c>
      <c r="B405" s="6" t="n">
        <v>-43.1</v>
      </c>
      <c r="C405" s="6" t="n">
        <v>-43.1</v>
      </c>
      <c r="D405" s="2" t="s">
        <v>523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45406</v>
      </c>
      <c r="B406" s="6" t="n">
        <v>-29.18</v>
      </c>
      <c r="C406" s="6" t="n">
        <v>-29.18</v>
      </c>
      <c r="D406" s="2" t="s">
        <v>524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45406.504560185</v>
      </c>
      <c r="B407" s="6" t="n">
        <v>34.28</v>
      </c>
      <c r="C407" s="6" t="n">
        <v>34.28</v>
      </c>
      <c r="D407" s="2" t="s">
        <v>488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45407.503784722</v>
      </c>
      <c r="B408" s="6" t="n">
        <v>39.13</v>
      </c>
      <c r="C408" s="6" t="n">
        <v>39.13</v>
      </c>
      <c r="D408" s="2" t="s">
        <v>344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45407.567141204</v>
      </c>
      <c r="B409" s="6" t="n">
        <v>1000</v>
      </c>
      <c r="C409" s="6" t="n">
        <v>1000</v>
      </c>
      <c r="D409" s="2" t="s">
        <v>525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45407.662430556</v>
      </c>
      <c r="B410" s="6" t="n">
        <v>29.18</v>
      </c>
      <c r="C410" s="6" t="n">
        <v>29.18</v>
      </c>
      <c r="D410" s="2" t="s">
        <v>440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45407.757743056</v>
      </c>
      <c r="B411" s="6" t="n">
        <v>43.1</v>
      </c>
      <c r="C411" s="6" t="n">
        <v>43.1</v>
      </c>
      <c r="D411" s="2" t="s">
        <v>459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45412</v>
      </c>
      <c r="B412" s="6" t="n">
        <v>-28.22</v>
      </c>
      <c r="C412" s="6" t="n">
        <v>-28.22</v>
      </c>
      <c r="D412" s="2" t="s">
        <v>373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45413</v>
      </c>
      <c r="B413" s="6" t="n">
        <v>-39.1</v>
      </c>
      <c r="C413" s="6" t="n">
        <v>-39.1</v>
      </c>
      <c r="D413" s="2" t="s">
        <v>526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45414</v>
      </c>
      <c r="B414" s="6" t="n">
        <v>-42.38</v>
      </c>
      <c r="C414" s="6" t="n">
        <v>-42.38</v>
      </c>
      <c r="D414" s="2" t="s">
        <v>357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45415.462268519</v>
      </c>
      <c r="B415" s="6" t="n">
        <v>42.38</v>
      </c>
      <c r="C415" s="6" t="n">
        <v>42.38</v>
      </c>
      <c r="D415" s="2" t="s">
        <v>358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45415.589467593</v>
      </c>
      <c r="B416" s="6" t="n">
        <v>39.1</v>
      </c>
      <c r="C416" s="6" t="n">
        <v>39.1</v>
      </c>
      <c r="D416" s="2" t="s">
        <v>461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45415.72900463</v>
      </c>
      <c r="B417" s="6" t="n">
        <v>28.22</v>
      </c>
      <c r="C417" s="6" t="n">
        <v>28.22</v>
      </c>
      <c r="D417" s="2" t="s">
        <v>376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45418.454618056</v>
      </c>
      <c r="B418" s="6" t="n">
        <v>11000</v>
      </c>
      <c r="C418" s="6" t="n">
        <v>11000</v>
      </c>
      <c r="D418" s="2" t="s">
        <v>336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45427</v>
      </c>
      <c r="B419" s="6" t="n">
        <v>-4.67</v>
      </c>
      <c r="C419" s="6" t="n">
        <v>-4.67</v>
      </c>
      <c r="D419" s="2" t="s">
        <v>527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45427</v>
      </c>
      <c r="B420" s="6" t="n">
        <v>-173.52</v>
      </c>
      <c r="C420" s="6" t="n">
        <v>-173.52</v>
      </c>
      <c r="D420" s="2" t="s">
        <v>528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45428.461145833</v>
      </c>
      <c r="B421" s="6" t="n">
        <v>173.52</v>
      </c>
      <c r="C421" s="6" t="n">
        <v>173.52</v>
      </c>
      <c r="D421" s="2" t="s">
        <v>360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45428.524108796</v>
      </c>
      <c r="B422" s="6" t="n">
        <v>4.67</v>
      </c>
      <c r="C422" s="6" t="n">
        <v>4.67</v>
      </c>
      <c r="D422" s="2" t="s">
        <v>529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45431</v>
      </c>
      <c r="B423" s="6" t="n">
        <v>-300</v>
      </c>
      <c r="C423" s="6" t="n">
        <v>-300</v>
      </c>
      <c r="D423" s="2" t="s">
        <v>530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45432</v>
      </c>
      <c r="B424" s="6" t="n">
        <v>-64.82</v>
      </c>
      <c r="C424" s="6" t="n">
        <v>-64.82</v>
      </c>
      <c r="D424" s="2" t="s">
        <v>438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45433.579652778</v>
      </c>
      <c r="B425" s="6" t="n">
        <v>300</v>
      </c>
      <c r="C425" s="6" t="n">
        <v>300</v>
      </c>
      <c r="D425" s="2" t="s">
        <v>531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45433.580532407</v>
      </c>
      <c r="B426" s="6" t="n">
        <v>64.82</v>
      </c>
      <c r="C426" s="6" t="n">
        <v>64.82</v>
      </c>
      <c r="D426" s="2" t="s">
        <v>403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45434</v>
      </c>
      <c r="B427" s="6" t="n">
        <v>-81.78</v>
      </c>
      <c r="C427" s="6" t="n">
        <v>-81.78</v>
      </c>
      <c r="D427" s="2" t="s">
        <v>532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45434</v>
      </c>
      <c r="B428" s="6" t="n">
        <v>-14.4</v>
      </c>
      <c r="C428" s="6" t="n">
        <v>-14.4</v>
      </c>
      <c r="D428" s="2" t="s">
        <v>533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45434</v>
      </c>
      <c r="B429" s="6" t="n">
        <v>-5.36</v>
      </c>
      <c r="C429" s="6" t="n">
        <v>-5.36</v>
      </c>
      <c r="D429" s="2" t="s">
        <v>495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45434</v>
      </c>
      <c r="B430" s="6" t="n">
        <v>-325.35</v>
      </c>
      <c r="C430" s="6" t="n">
        <v>-325.35</v>
      </c>
      <c r="D430" s="2" t="s">
        <v>534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45435</v>
      </c>
      <c r="B431" s="6" t="n">
        <v>-8.66</v>
      </c>
      <c r="C431" s="6" t="n">
        <v>-8.66</v>
      </c>
      <c r="D431" s="2" t="s">
        <v>535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45435.526087963</v>
      </c>
      <c r="B432" s="6" t="n">
        <v>325.35</v>
      </c>
      <c r="C432" s="6" t="n">
        <v>325.35</v>
      </c>
      <c r="D432" s="2" t="s">
        <v>364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45435.662974537</v>
      </c>
      <c r="B433" s="6" t="n">
        <v>14.4</v>
      </c>
      <c r="C433" s="6" t="n">
        <v>14.4</v>
      </c>
      <c r="D433" s="2" t="s">
        <v>506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45435.687453704</v>
      </c>
      <c r="B434" s="6" t="n">
        <v>81.78</v>
      </c>
      <c r="C434" s="6" t="n">
        <v>81.78</v>
      </c>
      <c r="D434" s="2" t="s">
        <v>466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45435.698819444</v>
      </c>
      <c r="B435" s="6" t="n">
        <v>5.36</v>
      </c>
      <c r="C435" s="6" t="n">
        <v>5.36</v>
      </c>
      <c r="D435" s="2" t="s">
        <v>338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45436.507858796</v>
      </c>
      <c r="B436" s="6" t="n">
        <v>8.66</v>
      </c>
      <c r="C436" s="6" t="n">
        <v>8.66</v>
      </c>
      <c r="D436" s="2" t="s">
        <v>408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45437</v>
      </c>
      <c r="B437" s="6" t="n">
        <v>-29.14</v>
      </c>
      <c r="C437" s="6" t="n">
        <v>-29.14</v>
      </c>
      <c r="D437" s="2" t="s">
        <v>536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45440.676631944</v>
      </c>
      <c r="B438" s="6" t="n">
        <v>29.14</v>
      </c>
      <c r="C438" s="6" t="n">
        <v>29.14</v>
      </c>
      <c r="D438" s="2" t="s">
        <v>440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45441</v>
      </c>
      <c r="B439" s="6" t="n">
        <v>-284.22</v>
      </c>
      <c r="C439" s="6" t="n">
        <v>-284.22</v>
      </c>
      <c r="D439" s="2" t="s">
        <v>537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45442.446111111</v>
      </c>
      <c r="B440" s="6" t="n">
        <v>284.22</v>
      </c>
      <c r="C440" s="6" t="n">
        <v>284.22</v>
      </c>
      <c r="D440" s="2" t="s">
        <v>538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45443</v>
      </c>
      <c r="B441" s="6" t="n">
        <v>-24.81</v>
      </c>
      <c r="C441" s="6" t="n">
        <v>-24.81</v>
      </c>
      <c r="D441" s="2" t="s">
        <v>365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45446</v>
      </c>
      <c r="B442" s="6" t="n">
        <v>-325.999263608</v>
      </c>
      <c r="C442" s="6" t="n">
        <v>-325.999263608</v>
      </c>
      <c r="D442" s="2" t="s">
        <v>539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45446</v>
      </c>
      <c r="B443" s="6" t="n">
        <v>-19.95</v>
      </c>
      <c r="C443" s="6" t="n">
        <v>-19.95</v>
      </c>
      <c r="D443" s="2" t="s">
        <v>540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45446.464988426</v>
      </c>
      <c r="B444" s="6" t="n">
        <v>24.81</v>
      </c>
      <c r="C444" s="6" t="n">
        <v>24.81</v>
      </c>
      <c r="D444" s="2" t="s">
        <v>366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45446.537881944</v>
      </c>
      <c r="B445" s="6" t="n">
        <v>11200</v>
      </c>
      <c r="C445" s="6" t="n">
        <v>11200</v>
      </c>
      <c r="D445" s="2" t="s">
        <v>336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45447</v>
      </c>
      <c r="B446" s="6" t="n">
        <v>-56.1</v>
      </c>
      <c r="C446" s="6" t="n">
        <v>-56.1</v>
      </c>
      <c r="D446" s="2" t="s">
        <v>468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45447.633923611</v>
      </c>
      <c r="B447" s="6" t="n">
        <v>19.95</v>
      </c>
      <c r="C447" s="6" t="n">
        <v>19.95</v>
      </c>
      <c r="D447" s="2" t="s">
        <v>541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45448</v>
      </c>
      <c r="B448" s="6" t="n">
        <v>-390.96</v>
      </c>
      <c r="C448" s="6" t="n">
        <v>-390.96</v>
      </c>
      <c r="D448" s="2" t="s">
        <v>542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45448</v>
      </c>
      <c r="B449" s="6" t="n">
        <v>-65.32</v>
      </c>
      <c r="C449" s="6" t="n">
        <v>-65.32</v>
      </c>
      <c r="D449" s="2" t="s">
        <v>543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45448</v>
      </c>
      <c r="B450" s="6" t="n">
        <v>-19.87</v>
      </c>
      <c r="C450" s="6" t="n">
        <v>-19.87</v>
      </c>
      <c r="D450" s="2" t="s">
        <v>367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45448</v>
      </c>
      <c r="B451" s="6" t="n">
        <v>-637.2</v>
      </c>
      <c r="C451" s="6" t="n">
        <v>-637.2</v>
      </c>
      <c r="D451" s="2" t="s">
        <v>544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45448</v>
      </c>
      <c r="B452" s="6" t="n">
        <v>-67</v>
      </c>
      <c r="C452" s="6" t="n">
        <v>-67</v>
      </c>
      <c r="D452" s="2" t="s">
        <v>499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45448.580787037</v>
      </c>
      <c r="B453" s="6" t="n">
        <v>56.1</v>
      </c>
      <c r="C453" s="6" t="n">
        <v>56.1</v>
      </c>
      <c r="D453" s="2" t="s">
        <v>471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45449</v>
      </c>
      <c r="B454" s="6" t="n">
        <v>-13.11</v>
      </c>
      <c r="C454" s="6" t="n">
        <v>-13.11</v>
      </c>
      <c r="D454" s="2" t="s">
        <v>545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45449.425752315</v>
      </c>
      <c r="B455" s="6" t="n">
        <v>637.2</v>
      </c>
      <c r="C455" s="6" t="n">
        <v>637.2</v>
      </c>
      <c r="D455" s="2" t="s">
        <v>413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45449.482881944</v>
      </c>
      <c r="B456" s="6" t="n">
        <v>390.96</v>
      </c>
      <c r="C456" s="6" t="n">
        <v>390.96</v>
      </c>
      <c r="D456" s="2" t="s">
        <v>472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45449.670300926</v>
      </c>
      <c r="B457" s="6" t="n">
        <v>19.87</v>
      </c>
      <c r="C457" s="6" t="n">
        <v>19.87</v>
      </c>
      <c r="D457" s="2" t="s">
        <v>368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45449.671354167</v>
      </c>
      <c r="B458" s="6" t="n">
        <v>65.32</v>
      </c>
      <c r="C458" s="6" t="n">
        <v>65.32</v>
      </c>
      <c r="D458" s="2" t="s">
        <v>412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45450.442164352</v>
      </c>
      <c r="B459" s="6" t="n">
        <v>67</v>
      </c>
      <c r="C459" s="6" t="n">
        <v>67</v>
      </c>
      <c r="D459" s="2" t="s">
        <v>502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45450.444548611</v>
      </c>
      <c r="B460" s="6" t="n">
        <v>13.11</v>
      </c>
      <c r="C460" s="6" t="n">
        <v>13.11</v>
      </c>
      <c r="D460" s="2" t="s">
        <v>503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45453</v>
      </c>
      <c r="B461" s="6" t="n">
        <v>-82.56</v>
      </c>
      <c r="C461" s="6" t="n">
        <v>-82.56</v>
      </c>
      <c r="D461" s="2" t="s">
        <v>546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45454</v>
      </c>
      <c r="B462" s="6" t="n">
        <v>-30.12</v>
      </c>
      <c r="C462" s="6" t="n">
        <v>-30.12</v>
      </c>
      <c r="D462" s="2" t="s">
        <v>547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45456.622650463</v>
      </c>
      <c r="B463" s="6" t="n">
        <v>30.12</v>
      </c>
      <c r="C463" s="6" t="n">
        <v>30.12</v>
      </c>
      <c r="D463" s="2" t="s">
        <v>415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45457</v>
      </c>
      <c r="B464" s="6" t="n">
        <v>-173.5</v>
      </c>
      <c r="C464" s="6" t="n">
        <v>-173.5</v>
      </c>
      <c r="D464" s="2" t="s">
        <v>548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45462</v>
      </c>
      <c r="B465" s="6" t="n">
        <v>-460.39</v>
      </c>
      <c r="C465" s="6" t="n">
        <v>-460.39</v>
      </c>
      <c r="D465" s="2" t="s">
        <v>549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45462.718715278</v>
      </c>
      <c r="B466" s="6" t="n">
        <v>326</v>
      </c>
      <c r="C466" s="6" t="n">
        <v>326</v>
      </c>
      <c r="D466" s="2" t="s">
        <v>416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45463.543993056</v>
      </c>
      <c r="B467" s="6" t="n">
        <v>460.39</v>
      </c>
      <c r="C467" s="6" t="n">
        <v>460.39</v>
      </c>
      <c r="D467" s="2" t="s">
        <v>370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45465</v>
      </c>
      <c r="B468" s="6" t="n">
        <v>-14.58</v>
      </c>
      <c r="C468" s="6" t="n">
        <v>-14.58</v>
      </c>
      <c r="D468" s="2" t="s">
        <v>550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45467</v>
      </c>
      <c r="B469" s="6" t="n">
        <v>-150</v>
      </c>
      <c r="C469" s="6" t="n">
        <v>-150</v>
      </c>
      <c r="D469" s="2" t="s">
        <v>551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45468</v>
      </c>
      <c r="B470" s="6" t="n">
        <v>-29.52</v>
      </c>
      <c r="C470" s="6" t="n">
        <v>-29.52</v>
      </c>
      <c r="D470" s="2" t="s">
        <v>552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45468</v>
      </c>
      <c r="B471" s="6" t="n">
        <v>-15.71</v>
      </c>
      <c r="C471" s="6" t="n">
        <v>-15.71</v>
      </c>
      <c r="D471" s="2" t="s">
        <v>553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45468.571076389</v>
      </c>
      <c r="B472" s="6" t="n">
        <v>14.58</v>
      </c>
      <c r="C472" s="6" t="n">
        <v>14.58</v>
      </c>
      <c r="D472" s="2" t="s">
        <v>506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45468.689965278</v>
      </c>
      <c r="B473" s="6" t="n">
        <v>82.56</v>
      </c>
      <c r="C473" s="6" t="n">
        <v>82.56</v>
      </c>
      <c r="D473" s="2" t="s">
        <v>554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45469.47349537</v>
      </c>
      <c r="B474" s="6" t="n">
        <v>150</v>
      </c>
      <c r="C474" s="6" t="n">
        <v>150</v>
      </c>
      <c r="D474" s="2" t="s">
        <v>447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45469.475659722</v>
      </c>
      <c r="B475" s="6" t="n">
        <v>15.71</v>
      </c>
      <c r="C475" s="6" t="n">
        <v>15.71</v>
      </c>
      <c r="D475" s="2" t="s">
        <v>448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45469.590925926</v>
      </c>
      <c r="B476" s="6" t="n">
        <v>29.52</v>
      </c>
      <c r="C476" s="6" t="n">
        <v>29.52</v>
      </c>
      <c r="D476" s="2" t="s">
        <v>440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45470</v>
      </c>
      <c r="B477" s="6" t="n">
        <v>-400</v>
      </c>
      <c r="C477" s="6" t="n">
        <v>-400</v>
      </c>
      <c r="D477" s="2" t="s">
        <v>555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45471</v>
      </c>
      <c r="B478" s="6" t="n">
        <v>-65.82</v>
      </c>
      <c r="C478" s="6" t="n">
        <v>-65.82</v>
      </c>
      <c r="D478" s="2" t="s">
        <v>479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45471</v>
      </c>
      <c r="B479" s="6" t="n">
        <v>11200</v>
      </c>
      <c r="C479" s="6" t="n">
        <v>11200</v>
      </c>
      <c r="D479" s="2" t="s">
        <v>336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45471.675787037</v>
      </c>
      <c r="B480" s="6" t="n">
        <v>173.5</v>
      </c>
      <c r="C480" s="6" t="n">
        <v>173.5</v>
      </c>
      <c r="D480" s="2" t="s">
        <v>419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45474.457997685</v>
      </c>
      <c r="B481" s="6" t="n">
        <v>400</v>
      </c>
      <c r="C481" s="6" t="n">
        <v>400</v>
      </c>
      <c r="D481" s="2" t="s">
        <v>556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45474.459525463</v>
      </c>
      <c r="B482" s="6" t="n">
        <v>65.82</v>
      </c>
      <c r="C482" s="6" t="n">
        <v>65.82</v>
      </c>
      <c r="D482" s="2" t="s">
        <v>481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45476</v>
      </c>
      <c r="B483" s="6" t="n">
        <v>-200</v>
      </c>
      <c r="C483" s="6" t="n">
        <v>-200</v>
      </c>
      <c r="D483" s="2" t="s">
        <v>339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45477</v>
      </c>
      <c r="B484" s="6" t="n">
        <v>-13.96</v>
      </c>
      <c r="C484" s="6" t="n">
        <v>-13.96</v>
      </c>
      <c r="D484" s="2" t="s">
        <v>450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45478.594293981</v>
      </c>
      <c r="B485" s="6" t="n">
        <v>200</v>
      </c>
      <c r="C485" s="6" t="n">
        <v>200</v>
      </c>
      <c r="D485" s="2" t="s">
        <v>342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45478.595763889</v>
      </c>
      <c r="B486" s="6" t="n">
        <v>13.96</v>
      </c>
      <c r="C486" s="6" t="n">
        <v>13.96</v>
      </c>
      <c r="D486" s="2" t="s">
        <v>341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45482</v>
      </c>
      <c r="B487" s="6" t="n">
        <v>-160.38</v>
      </c>
      <c r="C487" s="6" t="n">
        <v>-160.38</v>
      </c>
      <c r="D487" s="2" t="s">
        <v>557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45482</v>
      </c>
      <c r="B488" s="6" t="n">
        <v>-25.17</v>
      </c>
      <c r="C488" s="6" t="n">
        <v>-25.17</v>
      </c>
      <c r="D488" s="2" t="s">
        <v>558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45484</v>
      </c>
      <c r="B489" s="6" t="n">
        <v>-999</v>
      </c>
      <c r="C489" s="6" t="n">
        <v>-999</v>
      </c>
      <c r="D489" s="2" t="s">
        <v>559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45484</v>
      </c>
      <c r="B490" s="6" t="n">
        <v>-4329</v>
      </c>
      <c r="C490" s="6" t="n">
        <v>-4329</v>
      </c>
      <c r="D490" s="2" t="s">
        <v>560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45489</v>
      </c>
      <c r="B491" s="6" t="n">
        <v>-350</v>
      </c>
      <c r="C491" s="6" t="n">
        <v>-350</v>
      </c>
      <c r="D491" s="2" t="s">
        <v>561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45490</v>
      </c>
      <c r="B492" s="6" t="n">
        <v>-44.88</v>
      </c>
      <c r="C492" s="6" t="n">
        <v>-44.88</v>
      </c>
      <c r="D492" s="2" t="s">
        <v>482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45490</v>
      </c>
      <c r="B493" s="6" t="n">
        <v>-52</v>
      </c>
      <c r="C493" s="6" t="n">
        <v>-52</v>
      </c>
      <c r="D493" s="2" t="s">
        <v>562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45491</v>
      </c>
      <c r="B494" s="6" t="n">
        <v>-85</v>
      </c>
      <c r="C494" s="6" t="n">
        <v>-85</v>
      </c>
      <c r="D494" s="2" t="s">
        <v>563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45491</v>
      </c>
      <c r="B495" s="6" t="n">
        <v>-1229</v>
      </c>
      <c r="C495" s="6" t="n">
        <v>-1229</v>
      </c>
      <c r="D495" s="2" t="s">
        <v>564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45491</v>
      </c>
      <c r="B496" s="6" t="n">
        <v>44.88</v>
      </c>
      <c r="C496" s="6" t="n">
        <v>44.88</v>
      </c>
      <c r="D496" s="2" t="s">
        <v>483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45493</v>
      </c>
      <c r="B497" s="6" t="n">
        <v>-112.7</v>
      </c>
      <c r="C497" s="6" t="n">
        <v>-112.7</v>
      </c>
      <c r="D497" s="2" t="s">
        <v>565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45496</v>
      </c>
      <c r="B498" s="6" t="n">
        <v>-34.28</v>
      </c>
      <c r="C498" s="6" t="n">
        <v>-34.28</v>
      </c>
      <c r="D498" s="2" t="s">
        <v>485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45496</v>
      </c>
      <c r="B499" s="6" t="n">
        <v>-14.59</v>
      </c>
      <c r="C499" s="6" t="n">
        <v>-14.59</v>
      </c>
      <c r="D499" s="2" t="s">
        <v>566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45497</v>
      </c>
      <c r="B500" s="6" t="n">
        <v>-43.42</v>
      </c>
      <c r="C500" s="6" t="n">
        <v>-43.42</v>
      </c>
      <c r="D500" s="2" t="s">
        <v>567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45497</v>
      </c>
      <c r="B501" s="6" t="n">
        <v>-43.38</v>
      </c>
      <c r="C501" s="6" t="n">
        <v>-43.38</v>
      </c>
      <c r="D501" s="2" t="s">
        <v>425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45497.5009375</v>
      </c>
      <c r="B502" s="6" t="n">
        <v>34.28</v>
      </c>
      <c r="C502" s="6" t="n">
        <v>34.28</v>
      </c>
      <c r="D502" s="2" t="s">
        <v>488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45497.502847222</v>
      </c>
      <c r="B503" s="6" t="n">
        <v>14.59</v>
      </c>
      <c r="C503" s="6" t="n">
        <v>14.59</v>
      </c>
      <c r="D503" s="2" t="s">
        <v>506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45497.565636574</v>
      </c>
      <c r="B504" s="6" t="n">
        <v>112.7</v>
      </c>
      <c r="C504" s="6" t="n">
        <v>112.7</v>
      </c>
      <c r="D504" s="2" t="s">
        <v>568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45497.646493056</v>
      </c>
      <c r="B505" s="6" t="n">
        <v>25.17</v>
      </c>
      <c r="C505" s="6" t="n">
        <v>25.17</v>
      </c>
      <c r="D505" s="2" t="s">
        <v>356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45497.693333333</v>
      </c>
      <c r="B506" s="6" t="n">
        <v>160.38</v>
      </c>
      <c r="C506" s="6" t="n">
        <v>160.38</v>
      </c>
      <c r="D506" s="2" t="s">
        <v>569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45498</v>
      </c>
      <c r="B507" s="6" t="n">
        <v>-1000</v>
      </c>
      <c r="C507" s="6" t="n">
        <v>-1000</v>
      </c>
      <c r="D507" s="2" t="s">
        <v>570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45498.44587963</v>
      </c>
      <c r="B508" s="6" t="n">
        <v>43.38</v>
      </c>
      <c r="C508" s="6" t="n">
        <v>43.38</v>
      </c>
      <c r="D508" s="2" t="s">
        <v>428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45498.54212963</v>
      </c>
      <c r="B509" s="6" t="n">
        <v>43.42</v>
      </c>
      <c r="C509" s="6" t="n">
        <v>43.42</v>
      </c>
      <c r="D509" s="2" t="s">
        <v>459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45499</v>
      </c>
      <c r="B510" s="6" t="n">
        <v>-29.48</v>
      </c>
      <c r="C510" s="6" t="n">
        <v>-29.48</v>
      </c>
      <c r="D510" s="2" t="s">
        <v>571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45499</v>
      </c>
      <c r="B511" s="6" t="n">
        <v>-47.12</v>
      </c>
      <c r="C511" s="6" t="n">
        <v>-47.12</v>
      </c>
      <c r="D511" s="2" t="s">
        <v>489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45499.534444444</v>
      </c>
      <c r="B512" s="6" t="n">
        <v>999</v>
      </c>
      <c r="C512" s="6" t="n">
        <v>999</v>
      </c>
      <c r="D512" s="2" t="s">
        <v>406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45499.712615741</v>
      </c>
      <c r="B513" s="6" t="n">
        <v>4329</v>
      </c>
      <c r="C513" s="6" t="n">
        <v>4329</v>
      </c>
      <c r="D513" s="2" t="s">
        <v>407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45502</v>
      </c>
      <c r="B514" s="6" t="n">
        <v>-28.1</v>
      </c>
      <c r="C514" s="6" t="n">
        <v>-28.1</v>
      </c>
      <c r="D514" s="2" t="s">
        <v>572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45502.475648148</v>
      </c>
      <c r="B515" s="6" t="n">
        <v>1000</v>
      </c>
      <c r="C515" s="6" t="n">
        <v>1000</v>
      </c>
      <c r="D515" s="2" t="s">
        <v>573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45502.477777778</v>
      </c>
      <c r="B516" s="6" t="n">
        <v>47.12</v>
      </c>
      <c r="C516" s="6" t="n">
        <v>47.12</v>
      </c>
      <c r="D516" s="2" t="s">
        <v>490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45502.563148148</v>
      </c>
      <c r="B517" s="6" t="n">
        <v>29.48</v>
      </c>
      <c r="C517" s="6" t="n">
        <v>29.48</v>
      </c>
      <c r="D517" s="2" t="s">
        <v>440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45503</v>
      </c>
      <c r="B518" s="6" t="n">
        <v>-29.17</v>
      </c>
      <c r="C518" s="6" t="n">
        <v>-29.17</v>
      </c>
      <c r="D518" s="2" t="s">
        <v>574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45503</v>
      </c>
      <c r="B519" s="6" t="n">
        <v>-28.22</v>
      </c>
      <c r="C519" s="6" t="n">
        <v>-28.22</v>
      </c>
      <c r="D519" s="2" t="s">
        <v>373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45503.540138889</v>
      </c>
      <c r="B520" s="6" t="n">
        <v>350</v>
      </c>
      <c r="C520" s="6" t="n">
        <v>350</v>
      </c>
      <c r="D520" s="2" t="s">
        <v>575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45503.669444444</v>
      </c>
      <c r="B521" s="6" t="n">
        <v>28.1</v>
      </c>
      <c r="C521" s="6" t="n">
        <v>28.1</v>
      </c>
      <c r="D521" s="2" t="s">
        <v>576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45504</v>
      </c>
      <c r="B522" s="6" t="n">
        <v>-34.41</v>
      </c>
      <c r="C522" s="6" t="n">
        <v>-34.41</v>
      </c>
      <c r="D522" s="2" t="s">
        <v>577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45504</v>
      </c>
      <c r="B523" s="6" t="n">
        <v>-912.6</v>
      </c>
      <c r="C523" s="6" t="n">
        <v>-912.6</v>
      </c>
      <c r="D523" s="2" t="s">
        <v>578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45504</v>
      </c>
      <c r="B524" s="6" t="n">
        <v>-39.45</v>
      </c>
      <c r="C524" s="6" t="n">
        <v>-39.45</v>
      </c>
      <c r="D524" s="2" t="s">
        <v>579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45504</v>
      </c>
      <c r="B525" s="6" t="n">
        <v>-72.6</v>
      </c>
      <c r="C525" s="6" t="n">
        <v>-72.6</v>
      </c>
      <c r="D525" s="2" t="s">
        <v>580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45504</v>
      </c>
      <c r="B526" s="6" t="n">
        <v>28.22</v>
      </c>
      <c r="C526" s="6" t="n">
        <v>28.22</v>
      </c>
      <c r="D526" s="2" t="s">
        <v>376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45504.498206019</v>
      </c>
      <c r="B527" s="6" t="n">
        <v>29.17</v>
      </c>
      <c r="C527" s="6" t="n">
        <v>29.17</v>
      </c>
      <c r="D527" s="2" t="s">
        <v>581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45505.512083333</v>
      </c>
      <c r="B528" s="6" t="n">
        <v>72.6</v>
      </c>
      <c r="C528" s="6" t="n">
        <v>72.6</v>
      </c>
      <c r="D528" s="2" t="s">
        <v>377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45505.573541667</v>
      </c>
      <c r="B529" s="6" t="n">
        <v>52</v>
      </c>
      <c r="C529" s="6" t="n">
        <v>52</v>
      </c>
      <c r="D529" s="2" t="s">
        <v>431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45505.596516204</v>
      </c>
      <c r="B530" s="6" t="n">
        <v>912.6</v>
      </c>
      <c r="C530" s="6" t="n">
        <v>912.6</v>
      </c>
      <c r="D530" s="2" t="s">
        <v>346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45505.660856481</v>
      </c>
      <c r="B531" s="6" t="n">
        <v>34.41</v>
      </c>
      <c r="C531" s="6" t="n">
        <v>34.41</v>
      </c>
      <c r="D531" s="2" t="s">
        <v>582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45505.670393519</v>
      </c>
      <c r="B532" s="6" t="n">
        <v>39.45</v>
      </c>
      <c r="C532" s="6" t="n">
        <v>39.45</v>
      </c>
      <c r="D532" s="2" t="s">
        <v>461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45506</v>
      </c>
      <c r="B533" s="6" t="n">
        <v>11000</v>
      </c>
      <c r="C533" s="6" t="n">
        <v>11000</v>
      </c>
      <c r="D533" s="2" t="s">
        <v>336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45506.579618056</v>
      </c>
      <c r="B534" s="6" t="n">
        <v>1229</v>
      </c>
      <c r="C534" s="6" t="n">
        <v>1229</v>
      </c>
      <c r="D534" s="2" t="s">
        <v>433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45506.590127315</v>
      </c>
      <c r="B535" s="6" t="n">
        <v>85</v>
      </c>
      <c r="C535" s="6" t="n">
        <v>85</v>
      </c>
      <c r="D535" s="2" t="s">
        <v>432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45507</v>
      </c>
      <c r="B536" s="6" t="n">
        <v>-53.1</v>
      </c>
      <c r="C536" s="6" t="n">
        <v>-53.1</v>
      </c>
      <c r="D536" s="2" t="s">
        <v>434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45510.462650463</v>
      </c>
      <c r="B537" s="6" t="n">
        <v>53.1</v>
      </c>
      <c r="C537" s="6" t="n">
        <v>53.1</v>
      </c>
      <c r="D537" s="2" t="s">
        <v>379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45511</v>
      </c>
      <c r="B538" s="6" t="n">
        <v>-37.64</v>
      </c>
      <c r="C538" s="6" t="n">
        <v>-37.64</v>
      </c>
      <c r="D538" s="2" t="s">
        <v>583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45512.488055556</v>
      </c>
      <c r="B539" s="6" t="n">
        <v>37.64</v>
      </c>
      <c r="C539" s="6" t="n">
        <v>37.64</v>
      </c>
      <c r="D539" s="2" t="s">
        <v>584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45518</v>
      </c>
      <c r="B540" s="6" t="n">
        <v>-628.2</v>
      </c>
      <c r="C540" s="6" t="n">
        <v>-628.2</v>
      </c>
      <c r="D540" s="2" t="s">
        <v>585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45518</v>
      </c>
      <c r="B541" s="6" t="n">
        <v>-4.67</v>
      </c>
      <c r="C541" s="6" t="n">
        <v>-4.67</v>
      </c>
      <c r="D541" s="2" t="s">
        <v>527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45519.523773148</v>
      </c>
      <c r="B542" s="6" t="n">
        <v>628.2</v>
      </c>
      <c r="C542" s="6" t="n">
        <v>628.2</v>
      </c>
      <c r="D542" s="2" t="s">
        <v>381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45519.689525463</v>
      </c>
      <c r="B543" s="6" t="n">
        <v>4.67</v>
      </c>
      <c r="C543" s="6" t="n">
        <v>4.67</v>
      </c>
      <c r="D543" s="2" t="s">
        <v>529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45520</v>
      </c>
      <c r="B544" s="6" t="n">
        <v>-51.61</v>
      </c>
      <c r="C544" s="6" t="n">
        <v>-51.61</v>
      </c>
      <c r="D544" s="2" t="s">
        <v>436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45522</v>
      </c>
      <c r="B545" s="6" t="n">
        <v>-400</v>
      </c>
      <c r="C545" s="6" t="n">
        <v>-400</v>
      </c>
      <c r="D545" s="2" t="s">
        <v>586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45523</v>
      </c>
      <c r="B546" s="6" t="n">
        <v>-55.1</v>
      </c>
      <c r="C546" s="6" t="n">
        <v>-55.1</v>
      </c>
      <c r="D546" s="2" t="s">
        <v>587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45523.477164352</v>
      </c>
      <c r="B547" s="6" t="n">
        <v>51.61</v>
      </c>
      <c r="C547" s="6" t="n">
        <v>51.61</v>
      </c>
      <c r="D547" s="2" t="s">
        <v>439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45524</v>
      </c>
      <c r="B548" s="6" t="n">
        <v>-250</v>
      </c>
      <c r="C548" s="6" t="n">
        <v>-250</v>
      </c>
      <c r="D548" s="2" t="s">
        <v>361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45524</v>
      </c>
      <c r="B549" s="6" t="n">
        <v>55.1</v>
      </c>
      <c r="C549" s="6" t="n">
        <v>55.1</v>
      </c>
      <c r="D549" s="2" t="s">
        <v>403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45524</v>
      </c>
      <c r="B550" s="6" t="n">
        <v>400</v>
      </c>
      <c r="C550" s="6" t="n">
        <v>400</v>
      </c>
      <c r="D550" s="2" t="s">
        <v>531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45525</v>
      </c>
      <c r="B551" s="6" t="n">
        <v>-5.36</v>
      </c>
      <c r="C551" s="6" t="n">
        <v>-5.36</v>
      </c>
      <c r="D551" s="2" t="s">
        <v>495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45526</v>
      </c>
      <c r="B552" s="6" t="n">
        <v>-8.66</v>
      </c>
      <c r="C552" s="6" t="n">
        <v>-8.66</v>
      </c>
      <c r="D552" s="2" t="s">
        <v>535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45526.58587963</v>
      </c>
      <c r="B553" s="6" t="n">
        <v>250</v>
      </c>
      <c r="C553" s="6" t="n">
        <v>250</v>
      </c>
      <c r="D553" s="2" t="s">
        <v>588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45526.586539352</v>
      </c>
      <c r="B554" s="6" t="n">
        <v>5.36</v>
      </c>
      <c r="C554" s="6" t="n">
        <v>5.36</v>
      </c>
      <c r="D554" s="2" t="s">
        <v>338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45527</v>
      </c>
      <c r="B555" s="6" t="n">
        <v>-14.54</v>
      </c>
      <c r="C555" s="6" t="n">
        <v>-14.54</v>
      </c>
      <c r="D555" s="2" t="s">
        <v>505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45527.652071759</v>
      </c>
      <c r="B556" s="6" t="n">
        <v>8.66</v>
      </c>
      <c r="C556" s="6" t="n">
        <v>8.66</v>
      </c>
      <c r="D556" s="2" t="s">
        <v>408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45530</v>
      </c>
      <c r="B557" s="6" t="n">
        <v>-29.5</v>
      </c>
      <c r="C557" s="6" t="n">
        <v>-29.5</v>
      </c>
      <c r="D557" s="2" t="s">
        <v>507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45530.535046296</v>
      </c>
      <c r="B558" s="6" t="n">
        <v>14.54</v>
      </c>
      <c r="C558" s="6" t="n">
        <v>14.54</v>
      </c>
      <c r="D558" s="2" t="s">
        <v>506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45531.584733796</v>
      </c>
      <c r="B559" s="6" t="n">
        <v>29.5</v>
      </c>
      <c r="C559" s="6" t="n">
        <v>29.5</v>
      </c>
      <c r="D559" s="2" t="s">
        <v>440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45532</v>
      </c>
      <c r="B560" s="6" t="n">
        <v>-28.1</v>
      </c>
      <c r="C560" s="6" t="n">
        <v>-28.1</v>
      </c>
      <c r="D560" s="2" t="s">
        <v>572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45533.647141204</v>
      </c>
      <c r="B561" s="6" t="n">
        <v>28.1</v>
      </c>
      <c r="C561" s="6" t="n">
        <v>28.1</v>
      </c>
      <c r="D561" s="2" t="s">
        <v>576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45534</v>
      </c>
      <c r="B562" s="6" t="n">
        <v>-24.81</v>
      </c>
      <c r="C562" s="6" t="n">
        <v>-24.81</v>
      </c>
      <c r="D562" s="2" t="s">
        <v>365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45537</v>
      </c>
      <c r="B563" s="6" t="n">
        <v>-39.9</v>
      </c>
      <c r="C563" s="6" t="n">
        <v>-39.9</v>
      </c>
      <c r="D563" s="2" t="s">
        <v>589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45537.6315625</v>
      </c>
      <c r="B564" s="6" t="n">
        <v>24.81</v>
      </c>
      <c r="C564" s="6" t="n">
        <v>24.81</v>
      </c>
      <c r="D564" s="2" t="s">
        <v>366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45538.642083333</v>
      </c>
      <c r="B565" s="6" t="n">
        <v>39.9</v>
      </c>
      <c r="C565" s="6" t="n">
        <v>39.9</v>
      </c>
      <c r="D565" s="2" t="s">
        <v>541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45539</v>
      </c>
      <c r="B566" s="6" t="n">
        <v>-67</v>
      </c>
      <c r="C566" s="6" t="n">
        <v>-67</v>
      </c>
      <c r="D566" s="2" t="s">
        <v>499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45539</v>
      </c>
      <c r="B567" s="6" t="n">
        <v>-78.63</v>
      </c>
      <c r="C567" s="6" t="n">
        <v>-78.63</v>
      </c>
      <c r="D567" s="2" t="s">
        <v>590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45539</v>
      </c>
      <c r="B568" s="6" t="n">
        <v>-19.87</v>
      </c>
      <c r="C568" s="6" t="n">
        <v>-19.87</v>
      </c>
      <c r="D568" s="2" t="s">
        <v>367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45539</v>
      </c>
      <c r="B569" s="6" t="n">
        <v>-179.52</v>
      </c>
      <c r="C569" s="6" t="n">
        <v>-179.52</v>
      </c>
      <c r="D569" s="2" t="s">
        <v>591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45540</v>
      </c>
      <c r="B570" s="6" t="n">
        <v>-11.45</v>
      </c>
      <c r="C570" s="6" t="n">
        <v>-11.45</v>
      </c>
      <c r="D570" s="2" t="s">
        <v>592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45540</v>
      </c>
      <c r="B571" s="6" t="n">
        <v>179.52</v>
      </c>
      <c r="C571" s="6" t="n">
        <v>179.52</v>
      </c>
      <c r="D571" s="2" t="s">
        <v>593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45540</v>
      </c>
      <c r="B572" s="6" t="n">
        <v>78.63</v>
      </c>
      <c r="C572" s="6" t="n">
        <v>78.63</v>
      </c>
      <c r="D572" s="2" t="s">
        <v>384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45540.736053241</v>
      </c>
      <c r="B573" s="6" t="n">
        <v>19.87</v>
      </c>
      <c r="C573" s="6" t="n">
        <v>19.87</v>
      </c>
      <c r="D573" s="2" t="s">
        <v>368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45541.437962963</v>
      </c>
      <c r="B574" s="6" t="n">
        <v>11200</v>
      </c>
      <c r="C574" s="6" t="n">
        <v>11200</v>
      </c>
      <c r="D574" s="2" t="s">
        <v>336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45541.705011574</v>
      </c>
      <c r="B575" s="6" t="n">
        <v>67</v>
      </c>
      <c r="C575" s="6" t="n">
        <v>67</v>
      </c>
      <c r="D575" s="2" t="s">
        <v>502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45541.70619213</v>
      </c>
      <c r="B576" s="6" t="n">
        <v>11.45</v>
      </c>
      <c r="C576" s="6" t="n">
        <v>11.45</v>
      </c>
      <c r="D576" s="2" t="s">
        <v>503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45552</v>
      </c>
      <c r="B577" s="6" t="n">
        <v>-39.39</v>
      </c>
      <c r="C577" s="6" t="n">
        <v>-39.39</v>
      </c>
      <c r="D577" s="2" t="s">
        <v>385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45553</v>
      </c>
      <c r="B578" s="6" t="n">
        <v>-323.62</v>
      </c>
      <c r="C578" s="6" t="n">
        <v>-323.62</v>
      </c>
      <c r="D578" s="2" t="s">
        <v>594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45553.533125</v>
      </c>
      <c r="B579" s="6" t="n">
        <v>39.39</v>
      </c>
      <c r="C579" s="6" t="n">
        <v>39.39</v>
      </c>
      <c r="D579" s="2" t="s">
        <v>388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45554.491759259</v>
      </c>
      <c r="B580" s="6" t="n">
        <v>323.62</v>
      </c>
      <c r="C580" s="6" t="n">
        <v>323.62</v>
      </c>
      <c r="D580" s="2" t="s">
        <v>348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45558</v>
      </c>
      <c r="B581" s="6" t="n">
        <v>-150</v>
      </c>
      <c r="C581" s="6" t="n">
        <v>-150</v>
      </c>
      <c r="D581" s="2" t="s">
        <v>551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45558</v>
      </c>
      <c r="B582" s="6" t="n">
        <v>-15.3</v>
      </c>
      <c r="C582" s="6" t="n">
        <v>-15.3</v>
      </c>
      <c r="D582" s="2" t="s">
        <v>595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45559</v>
      </c>
      <c r="B583" s="6" t="n">
        <v>-11.78</v>
      </c>
      <c r="C583" s="6" t="n">
        <v>-11.78</v>
      </c>
      <c r="D583" s="2" t="s">
        <v>596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45559.501134259</v>
      </c>
      <c r="B584" s="6" t="n">
        <v>15.3</v>
      </c>
      <c r="C584" s="6" t="n">
        <v>15.3</v>
      </c>
      <c r="D584" s="2" t="s">
        <v>506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45560</v>
      </c>
      <c r="B585" s="6" t="n">
        <v>-211.9</v>
      </c>
      <c r="C585" s="6" t="n">
        <v>-211.9</v>
      </c>
      <c r="D585" s="2" t="s">
        <v>597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45560</v>
      </c>
      <c r="B586" s="6" t="n">
        <v>-11.18</v>
      </c>
      <c r="C586" s="6" t="n">
        <v>-11.18</v>
      </c>
      <c r="D586" s="2" t="s">
        <v>598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45560</v>
      </c>
      <c r="B587" s="6" t="n">
        <v>-65.04</v>
      </c>
      <c r="C587" s="6" t="n">
        <v>-65.04</v>
      </c>
      <c r="D587" s="2" t="s">
        <v>599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45560</v>
      </c>
      <c r="B588" s="6" t="n">
        <v>-392.7</v>
      </c>
      <c r="C588" s="6" t="n">
        <v>-392.7</v>
      </c>
      <c r="D588" s="2" t="s">
        <v>600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45560</v>
      </c>
      <c r="B589" s="6" t="n">
        <v>11.78</v>
      </c>
      <c r="C589" s="6" t="n">
        <v>11.78</v>
      </c>
      <c r="D589" s="2" t="s">
        <v>448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45560</v>
      </c>
      <c r="B590" s="6" t="n">
        <v>150</v>
      </c>
      <c r="C590" s="6" t="n">
        <v>150</v>
      </c>
      <c r="D590" s="2" t="s">
        <v>447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45561</v>
      </c>
      <c r="B591" s="6" t="n">
        <v>-31.22</v>
      </c>
      <c r="C591" s="6" t="n">
        <v>-31.22</v>
      </c>
      <c r="D591" s="2" t="s">
        <v>601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45561</v>
      </c>
      <c r="B592" s="6" t="n">
        <v>65.04</v>
      </c>
      <c r="C592" s="6" t="n">
        <v>65.04</v>
      </c>
      <c r="D592" s="2" t="s">
        <v>390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45561</v>
      </c>
      <c r="B593" s="6" t="n">
        <v>211.9</v>
      </c>
      <c r="C593" s="6" t="n">
        <v>211.9</v>
      </c>
      <c r="D593" s="2" t="s">
        <v>514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45561.438402778</v>
      </c>
      <c r="B594" s="6" t="n">
        <v>392.7</v>
      </c>
      <c r="C594" s="6" t="n">
        <v>392.7</v>
      </c>
      <c r="D594" s="2" t="s">
        <v>513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45561.69099537</v>
      </c>
      <c r="B595" s="6" t="n">
        <v>11.18</v>
      </c>
      <c r="C595" s="6" t="n">
        <v>11.18</v>
      </c>
      <c r="D595" s="2" t="s">
        <v>602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45562</v>
      </c>
      <c r="B596" s="6" t="n">
        <v>-31.4</v>
      </c>
      <c r="C596" s="6" t="n">
        <v>-31.4</v>
      </c>
      <c r="D596" s="2" t="s">
        <v>603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45562</v>
      </c>
      <c r="B597" s="6" t="n">
        <v>-242.4</v>
      </c>
      <c r="C597" s="6" t="n">
        <v>-242.4</v>
      </c>
      <c r="D597" s="2" t="s">
        <v>604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45562.674224537</v>
      </c>
      <c r="B598" s="6" t="n">
        <v>31.22</v>
      </c>
      <c r="C598" s="6" t="n">
        <v>31.22</v>
      </c>
      <c r="D598" s="2" t="s">
        <v>440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45565.518298611</v>
      </c>
      <c r="B599" s="6" t="n">
        <v>31.4</v>
      </c>
      <c r="C599" s="6" t="n">
        <v>31.4</v>
      </c>
      <c r="D599" s="2" t="s">
        <v>576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45566.443460648</v>
      </c>
      <c r="B600" s="6" t="n">
        <v>11000</v>
      </c>
      <c r="C600" s="6" t="n">
        <v>11000</v>
      </c>
      <c r="D600" s="2" t="s">
        <v>336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45567</v>
      </c>
      <c r="B601" s="6" t="n">
        <v>-230.34</v>
      </c>
      <c r="C601" s="6" t="n">
        <v>-230.34</v>
      </c>
      <c r="D601" s="2" t="s">
        <v>605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45567</v>
      </c>
      <c r="B602" s="6" t="n">
        <v>-614.24</v>
      </c>
      <c r="C602" s="6" t="n">
        <v>-614.24</v>
      </c>
      <c r="D602" s="2" t="s">
        <v>606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45568</v>
      </c>
      <c r="B603" s="6" t="n">
        <v>-6.98</v>
      </c>
      <c r="C603" s="6" t="n">
        <v>-6.98</v>
      </c>
      <c r="D603" s="2" t="s">
        <v>607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45568.440694444</v>
      </c>
      <c r="B604" s="6" t="n">
        <v>614.24</v>
      </c>
      <c r="C604" s="6" t="n">
        <v>614.24</v>
      </c>
      <c r="D604" s="2" t="s">
        <v>394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45568.474201389</v>
      </c>
      <c r="B605" s="6" t="n">
        <v>230.34</v>
      </c>
      <c r="C605" s="6" t="n">
        <v>230.34</v>
      </c>
      <c r="D605" s="2" t="s">
        <v>393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45569.642337963</v>
      </c>
      <c r="B606" s="6" t="n">
        <v>6.98</v>
      </c>
      <c r="C606" s="6" t="n">
        <v>6.98</v>
      </c>
      <c r="D606" s="2" t="s">
        <v>341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45573</v>
      </c>
      <c r="B607" s="6" t="n">
        <v>-38.2</v>
      </c>
      <c r="C607" s="6" t="n">
        <v>-38.2</v>
      </c>
      <c r="D607" s="2" t="s">
        <v>608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45574</v>
      </c>
      <c r="B608" s="6" t="n">
        <v>-411.1</v>
      </c>
      <c r="C608" s="6" t="n">
        <v>-411.1</v>
      </c>
      <c r="D608" s="2" t="s">
        <v>609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45575.566296296</v>
      </c>
      <c r="B609" s="6" t="n">
        <v>411.1</v>
      </c>
      <c r="C609" s="6" t="n">
        <v>411.1</v>
      </c>
      <c r="D609" s="2" t="s">
        <v>396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45576</v>
      </c>
      <c r="B610" s="6" t="n">
        <v>-35.5</v>
      </c>
      <c r="C610" s="6" t="n">
        <v>-35.5</v>
      </c>
      <c r="D610" s="2" t="s">
        <v>610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45579.629525463</v>
      </c>
      <c r="B611" s="6" t="n">
        <v>242.4</v>
      </c>
      <c r="C611" s="6" t="n">
        <v>242.4</v>
      </c>
      <c r="D611" s="2" t="s">
        <v>611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45581</v>
      </c>
      <c r="B612" s="6" t="n">
        <v>-381.5</v>
      </c>
      <c r="C612" s="6" t="n">
        <v>-381.5</v>
      </c>
      <c r="D612" s="2" t="s">
        <v>612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45581</v>
      </c>
      <c r="B613" s="6" t="n">
        <v>-26.18</v>
      </c>
      <c r="C613" s="6" t="n">
        <v>-26.18</v>
      </c>
      <c r="D613" s="2" t="s">
        <v>613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45582</v>
      </c>
      <c r="B614" s="6" t="n">
        <v>-74.82</v>
      </c>
      <c r="C614" s="6" t="n">
        <v>-74.82</v>
      </c>
      <c r="D614" s="2" t="s">
        <v>614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45582.51912037</v>
      </c>
      <c r="B615" s="6" t="n">
        <v>381.5</v>
      </c>
      <c r="C615" s="6" t="n">
        <v>381.5</v>
      </c>
      <c r="D615" s="2" t="s">
        <v>455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45582.634652778</v>
      </c>
      <c r="B616" s="6" t="n">
        <v>26.18</v>
      </c>
      <c r="C616" s="6" t="n">
        <v>26.18</v>
      </c>
      <c r="D616" s="2" t="s">
        <v>615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45584</v>
      </c>
      <c r="B617" s="6" t="n">
        <v>-24.9</v>
      </c>
      <c r="C617" s="6" t="n">
        <v>-24.9</v>
      </c>
      <c r="D617" s="2" t="s">
        <v>616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45587</v>
      </c>
      <c r="B618" s="6" t="n">
        <v>-34.28</v>
      </c>
      <c r="C618" s="6" t="n">
        <v>-34.28</v>
      </c>
      <c r="D618" s="2" t="s">
        <v>485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45588</v>
      </c>
      <c r="B619" s="6" t="n">
        <v>-48.3</v>
      </c>
      <c r="C619" s="6" t="n">
        <v>-48.3</v>
      </c>
      <c r="D619" s="2" t="s">
        <v>617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45588.462349537</v>
      </c>
      <c r="B620" s="6" t="n">
        <v>34.28</v>
      </c>
      <c r="C620" s="6" t="n">
        <v>34.28</v>
      </c>
      <c r="D620" s="2" t="s">
        <v>488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45588.652719907</v>
      </c>
      <c r="B621" s="6" t="n">
        <v>38.2</v>
      </c>
      <c r="C621" s="6" t="n">
        <v>38.2</v>
      </c>
      <c r="D621" s="2" t="s">
        <v>356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45589</v>
      </c>
      <c r="B622" s="6" t="n">
        <v>-16.6</v>
      </c>
      <c r="C622" s="6" t="n">
        <v>-16.6</v>
      </c>
      <c r="D622" s="2" t="s">
        <v>618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45590</v>
      </c>
      <c r="B623" s="6" t="n">
        <v>-11.18</v>
      </c>
      <c r="C623" s="6" t="n">
        <v>-11.18</v>
      </c>
      <c r="D623" s="2" t="s">
        <v>598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45590.547407407</v>
      </c>
      <c r="B624" s="6" t="n">
        <v>48.3</v>
      </c>
      <c r="C624" s="6" t="n">
        <v>48.3</v>
      </c>
      <c r="D624" s="2" t="s">
        <v>459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45592</v>
      </c>
      <c r="B625" s="6" t="n">
        <v>-33.04</v>
      </c>
      <c r="C625" s="6" t="n">
        <v>-33.04</v>
      </c>
      <c r="D625" s="2" t="s">
        <v>619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45592</v>
      </c>
      <c r="B626" s="6" t="n">
        <v>-33.7</v>
      </c>
      <c r="C626" s="6" t="n">
        <v>-33.7</v>
      </c>
      <c r="D626" s="2" t="s">
        <v>620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45593.616828704</v>
      </c>
      <c r="B627" s="6" t="n">
        <v>16.6</v>
      </c>
      <c r="C627" s="6" t="n">
        <v>16.6</v>
      </c>
      <c r="D627" s="2" t="s">
        <v>506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45594</v>
      </c>
      <c r="B628" s="6" t="n">
        <v>-58.34</v>
      </c>
      <c r="C628" s="6" t="n">
        <v>-58.34</v>
      </c>
      <c r="D628" s="2" t="s">
        <v>621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45594</v>
      </c>
      <c r="B629" s="6" t="n">
        <v>-28.22</v>
      </c>
      <c r="C629" s="6" t="n">
        <v>-28.22</v>
      </c>
      <c r="D629" s="2" t="s">
        <v>373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45594.450590278</v>
      </c>
      <c r="B630" s="6" t="n">
        <v>11.18</v>
      </c>
      <c r="C630" s="6" t="n">
        <v>11.18</v>
      </c>
      <c r="D630" s="2" t="s">
        <v>602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45594.658043981</v>
      </c>
      <c r="B631" s="6" t="n">
        <v>35.5</v>
      </c>
      <c r="C631" s="6" t="n">
        <v>35.5</v>
      </c>
      <c r="D631" s="2" t="s">
        <v>353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45595</v>
      </c>
      <c r="B632" s="6" t="n">
        <v>-44.89</v>
      </c>
      <c r="C632" s="6" t="n">
        <v>-44.89</v>
      </c>
      <c r="D632" s="2" t="s">
        <v>622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45595.433518519</v>
      </c>
      <c r="B633" s="6" t="n">
        <v>33.7</v>
      </c>
      <c r="C633" s="6" t="n">
        <v>33.7</v>
      </c>
      <c r="D633" s="2" t="s">
        <v>440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45595.528634259</v>
      </c>
      <c r="B634" s="6" t="n">
        <v>74.82</v>
      </c>
      <c r="C634" s="6" t="n">
        <v>74.82</v>
      </c>
      <c r="D634" s="2" t="s">
        <v>554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45595.753321759</v>
      </c>
      <c r="B635" s="6" t="n">
        <v>33.04</v>
      </c>
      <c r="C635" s="6" t="n">
        <v>33.04</v>
      </c>
      <c r="D635" s="2" t="s">
        <v>576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45596</v>
      </c>
      <c r="B636" s="6" t="n">
        <v>-42.38</v>
      </c>
      <c r="C636" s="6" t="n">
        <v>-42.38</v>
      </c>
      <c r="D636" s="2" t="s">
        <v>357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45596.568043981</v>
      </c>
      <c r="B637" s="6" t="n">
        <v>58.34</v>
      </c>
      <c r="C637" s="6" t="n">
        <v>58.34</v>
      </c>
      <c r="D637" s="2" t="s">
        <v>581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45596.657222222</v>
      </c>
      <c r="B638" s="6" t="n">
        <v>28.22</v>
      </c>
      <c r="C638" s="6" t="n">
        <v>28.22</v>
      </c>
      <c r="D638" s="2" t="s">
        <v>376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45596.703842593</v>
      </c>
      <c r="B639" s="6" t="n">
        <v>44.89</v>
      </c>
      <c r="C639" s="6" t="n">
        <v>44.89</v>
      </c>
      <c r="D639" s="2" t="s">
        <v>461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45597</v>
      </c>
      <c r="B640" s="6" t="n">
        <v>-23.86</v>
      </c>
      <c r="C640" s="6" t="n">
        <v>-23.86</v>
      </c>
      <c r="D640" s="2" t="s">
        <v>623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45597.599108796</v>
      </c>
      <c r="B641" s="6" t="n">
        <v>42.38</v>
      </c>
      <c r="C641" s="6" t="n">
        <v>42.38</v>
      </c>
      <c r="D641" s="2" t="s">
        <v>358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45597.648206019</v>
      </c>
      <c r="B642" s="6" t="n">
        <v>5000</v>
      </c>
      <c r="C642" s="6" t="n">
        <v>5000</v>
      </c>
      <c r="D642" s="2" t="s">
        <v>336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45597.652465278</v>
      </c>
      <c r="B643" s="6" t="n">
        <v>6200</v>
      </c>
      <c r="C643" s="6" t="n">
        <v>6200</v>
      </c>
      <c r="D643" s="2" t="s">
        <v>336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45598.562025463</v>
      </c>
      <c r="B644" s="6" t="n">
        <v>23.86</v>
      </c>
      <c r="C644" s="6" t="n">
        <v>23.86</v>
      </c>
      <c r="D644" s="2" t="s">
        <v>624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45598.622881944</v>
      </c>
      <c r="B645" s="6" t="n">
        <v>24.9</v>
      </c>
      <c r="C645" s="6" t="n">
        <v>24.9</v>
      </c>
      <c r="D645" s="2" t="s">
        <v>625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45609</v>
      </c>
      <c r="B646" s="6" t="n">
        <v>-594.79</v>
      </c>
      <c r="C646" s="6" t="n">
        <v>-594.79</v>
      </c>
      <c r="D646" s="2" t="s">
        <v>626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45609</v>
      </c>
      <c r="B647" s="6" t="n">
        <v>-4.67</v>
      </c>
      <c r="C647" s="6" t="n">
        <v>-4.67</v>
      </c>
      <c r="D647" s="2" t="s">
        <v>527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4" t="n">
        <v>45610.465219907</v>
      </c>
      <c r="B648" s="6" t="n">
        <v>594.79</v>
      </c>
      <c r="C648" s="6" t="n">
        <v>594.79</v>
      </c>
      <c r="D648" s="2" t="s">
        <v>360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 t="n">
        <v>45610.596493056</v>
      </c>
      <c r="B649" s="6" t="n">
        <v>4.67</v>
      </c>
      <c r="C649" s="6" t="n">
        <v>4.67</v>
      </c>
      <c r="D649" s="2" t="s">
        <v>529</v>
      </c>
      <c r="E649" s="2"/>
      <c r="F649" s="2"/>
      <c r="G649" s="6" t="s">
        <f>=A649-A648</f>
      </c>
      <c r="H649" s="6" t="s">
        <f>=B649+H648</f>
      </c>
      <c r="I649" s="6" t="s">
        <f>=G649*H648</f>
      </c>
    </row>
    <row collapsed="false" customFormat="false" customHeight="false" hidden="false" ht="12.1" outlineLevel="0" r="650">
      <c r="A650" s="14" t="n">
        <v>45613</v>
      </c>
      <c r="B650" s="6" t="n">
        <v>-500</v>
      </c>
      <c r="C650" s="6" t="n">
        <v>-500</v>
      </c>
      <c r="D650" s="2" t="s">
        <v>627</v>
      </c>
      <c r="E650" s="2"/>
      <c r="F650" s="2"/>
      <c r="G650" s="6" t="s">
        <f>=A650-A649</f>
      </c>
      <c r="H650" s="6" t="s">
        <f>=B650+H649</f>
      </c>
      <c r="I650" s="6" t="s">
        <f>=G650*H649</f>
      </c>
    </row>
    <row collapsed="false" customFormat="false" customHeight="false" hidden="false" ht="12.1" outlineLevel="0" r="651">
      <c r="A651" s="14" t="n">
        <v>45614</v>
      </c>
      <c r="B651" s="6" t="n">
        <v>-42.14</v>
      </c>
      <c r="C651" s="6" t="n">
        <v>-42.14</v>
      </c>
      <c r="D651" s="2" t="s">
        <v>628</v>
      </c>
      <c r="E651" s="2"/>
      <c r="F651" s="2"/>
      <c r="G651" s="6" t="s">
        <f>=A651-A650</f>
      </c>
      <c r="H651" s="6" t="s">
        <f>=B651+H650</f>
      </c>
      <c r="I651" s="6" t="s">
        <f>=G651*H650</f>
      </c>
    </row>
    <row collapsed="false" customFormat="false" customHeight="false" hidden="false" ht="12.1" outlineLevel="0" r="652">
      <c r="A652" s="14" t="n">
        <v>45615</v>
      </c>
      <c r="B652" s="6" t="n">
        <v>42.14</v>
      </c>
      <c r="C652" s="6" t="n">
        <v>42.14</v>
      </c>
      <c r="D652" s="2" t="s">
        <v>403</v>
      </c>
      <c r="E652" s="2"/>
      <c r="F652" s="2"/>
      <c r="G652" s="6" t="s">
        <f>=A652-A651</f>
      </c>
      <c r="H652" s="6" t="s">
        <f>=B652+H651</f>
      </c>
      <c r="I652" s="6" t="s">
        <f>=G652*H651</f>
      </c>
    </row>
    <row collapsed="false" customFormat="false" customHeight="false" hidden="false" ht="12.1" outlineLevel="0" r="653">
      <c r="A653" s="14" t="n">
        <v>45615</v>
      </c>
      <c r="B653" s="6" t="n">
        <v>500</v>
      </c>
      <c r="C653" s="6" t="n">
        <v>500</v>
      </c>
      <c r="D653" s="2" t="s">
        <v>531</v>
      </c>
      <c r="E653" s="2"/>
      <c r="F653" s="2"/>
      <c r="G653" s="6" t="s">
        <f>=A653-A652</f>
      </c>
      <c r="H653" s="6" t="s">
        <f>=B653+H652</f>
      </c>
      <c r="I653" s="6" t="s">
        <f>=G653*H652</f>
      </c>
    </row>
    <row collapsed="false" customFormat="false" customHeight="false" hidden="false" ht="12.1" outlineLevel="0" r="654">
      <c r="A654" s="14" t="n">
        <v>45616</v>
      </c>
      <c r="B654" s="6" t="n">
        <v>-325.35</v>
      </c>
      <c r="C654" s="6" t="n">
        <v>-325.35</v>
      </c>
      <c r="D654" s="2" t="s">
        <v>534</v>
      </c>
      <c r="E654" s="2"/>
      <c r="F654" s="2"/>
      <c r="G654" s="6" t="s">
        <f>=A654-A653</f>
      </c>
      <c r="H654" s="6" t="s">
        <f>=B654+H653</f>
      </c>
      <c r="I654" s="6" t="s">
        <f>=G654*H653</f>
      </c>
    </row>
    <row collapsed="false" customFormat="false" customHeight="false" hidden="false" ht="12.1" outlineLevel="0" r="655">
      <c r="A655" s="14" t="n">
        <v>45616</v>
      </c>
      <c r="B655" s="6" t="n">
        <v>-84.9</v>
      </c>
      <c r="C655" s="6" t="n">
        <v>-84.9</v>
      </c>
      <c r="D655" s="2" t="s">
        <v>629</v>
      </c>
      <c r="E655" s="2"/>
      <c r="F655" s="2"/>
      <c r="G655" s="6" t="s">
        <f>=A655-A654</f>
      </c>
      <c r="H655" s="6" t="s">
        <f>=B655+H654</f>
      </c>
      <c r="I655" s="6" t="s">
        <f>=G655*H654</f>
      </c>
    </row>
    <row collapsed="false" customFormat="false" customHeight="false" hidden="false" ht="12.1" outlineLevel="0" r="656">
      <c r="A656" s="14" t="n">
        <v>45617</v>
      </c>
      <c r="B656" s="6" t="n">
        <v>-8.66</v>
      </c>
      <c r="C656" s="6" t="n">
        <v>-8.66</v>
      </c>
      <c r="D656" s="2" t="s">
        <v>535</v>
      </c>
      <c r="E656" s="2"/>
      <c r="F656" s="2"/>
      <c r="G656" s="6" t="s">
        <f>=A656-A655</f>
      </c>
      <c r="H656" s="6" t="s">
        <f>=B656+H655</f>
      </c>
      <c r="I656" s="6" t="s">
        <f>=G656*H655</f>
      </c>
    </row>
    <row collapsed="false" customFormat="false" customHeight="false" hidden="false" ht="12.1" outlineLevel="0" r="657">
      <c r="A657" s="14" t="n">
        <v>45617.464398148</v>
      </c>
      <c r="B657" s="6" t="n">
        <v>325.35</v>
      </c>
      <c r="C657" s="6" t="n">
        <v>325.35</v>
      </c>
      <c r="D657" s="2" t="s">
        <v>364</v>
      </c>
      <c r="E657" s="2"/>
      <c r="F657" s="2"/>
      <c r="G657" s="6" t="s">
        <f>=A657-A656</f>
      </c>
      <c r="H657" s="6" t="s">
        <f>=B657+H656</f>
      </c>
      <c r="I657" s="6" t="s">
        <f>=G657*H656</f>
      </c>
    </row>
    <row collapsed="false" customFormat="false" customHeight="false" hidden="false" ht="12.1" outlineLevel="0" r="658">
      <c r="A658" s="14" t="n">
        <v>45617.679490741</v>
      </c>
      <c r="B658" s="6" t="n">
        <v>84.9</v>
      </c>
      <c r="C658" s="6" t="n">
        <v>84.9</v>
      </c>
      <c r="D658" s="2" t="s">
        <v>466</v>
      </c>
      <c r="E658" s="2"/>
      <c r="F658" s="2"/>
      <c r="G658" s="6" t="s">
        <f>=A658-A657</f>
      </c>
      <c r="H658" s="6" t="s">
        <f>=B658+H657</f>
      </c>
      <c r="I658" s="6" t="s">
        <f>=G658*H657</f>
      </c>
    </row>
    <row collapsed="false" customFormat="false" customHeight="false" hidden="false" ht="12.1" outlineLevel="0" r="659">
      <c r="A659" s="14" t="n">
        <v>45618.532418981</v>
      </c>
      <c r="B659" s="6" t="n">
        <v>8.66</v>
      </c>
      <c r="C659" s="6" t="n">
        <v>8.66</v>
      </c>
      <c r="D659" s="2" t="s">
        <v>408</v>
      </c>
      <c r="E659" s="2"/>
      <c r="F659" s="2"/>
      <c r="G659" s="6" t="s">
        <f>=A659-A658</f>
      </c>
      <c r="H659" s="6" t="s">
        <f>=B659+H658</f>
      </c>
      <c r="I659" s="6" t="s">
        <f>=G659*H658</f>
      </c>
    </row>
    <row collapsed="false" customFormat="false" customHeight="false" hidden="false" ht="12.1" outlineLevel="0" r="660">
      <c r="A660" s="14" t="n">
        <v>45620</v>
      </c>
      <c r="B660" s="6" t="n">
        <v>-16.79</v>
      </c>
      <c r="C660" s="6" t="n">
        <v>-16.79</v>
      </c>
      <c r="D660" s="2" t="s">
        <v>630</v>
      </c>
      <c r="E660" s="2"/>
      <c r="F660" s="2"/>
      <c r="G660" s="6" t="s">
        <f>=A660-A659</f>
      </c>
      <c r="H660" s="6" t="s">
        <f>=B660+H659</f>
      </c>
      <c r="I660" s="6" t="s">
        <f>=G660*H659</f>
      </c>
    </row>
    <row collapsed="false" customFormat="false" customHeight="false" hidden="false" ht="12.1" outlineLevel="0" r="661">
      <c r="A661" s="14" t="n">
        <v>45620</v>
      </c>
      <c r="B661" s="6" t="n">
        <v>-11.18</v>
      </c>
      <c r="C661" s="6" t="n">
        <v>-11.18</v>
      </c>
      <c r="D661" s="2" t="s">
        <v>598</v>
      </c>
      <c r="E661" s="2"/>
      <c r="F661" s="2"/>
      <c r="G661" s="6" t="s">
        <f>=A661-A660</f>
      </c>
      <c r="H661" s="6" t="s">
        <f>=B661+H660</f>
      </c>
      <c r="I661" s="6" t="s">
        <f>=G661*H660</f>
      </c>
    </row>
    <row collapsed="false" customFormat="false" customHeight="false" hidden="false" ht="12.1" outlineLevel="0" r="662">
      <c r="A662" s="14" t="n">
        <v>45622</v>
      </c>
      <c r="B662" s="6" t="n">
        <v>-33.04</v>
      </c>
      <c r="C662" s="6" t="n">
        <v>-33.04</v>
      </c>
      <c r="D662" s="2" t="s">
        <v>619</v>
      </c>
      <c r="E662" s="2"/>
      <c r="F662" s="2"/>
      <c r="G662" s="6" t="s">
        <f>=A662-A661</f>
      </c>
      <c r="H662" s="6" t="s">
        <f>=B662+H661</f>
      </c>
      <c r="I662" s="6" t="s">
        <f>=G662*H661</f>
      </c>
    </row>
    <row collapsed="false" customFormat="false" customHeight="false" hidden="false" ht="12.1" outlineLevel="0" r="663">
      <c r="A663" s="14" t="n">
        <v>45622</v>
      </c>
      <c r="B663" s="6" t="n">
        <v>-24.93</v>
      </c>
      <c r="C663" s="6" t="n">
        <v>-24.93</v>
      </c>
      <c r="D663" s="2" t="s">
        <v>631</v>
      </c>
      <c r="E663" s="2"/>
      <c r="F663" s="2"/>
      <c r="G663" s="6" t="s">
        <f>=A663-A662</f>
      </c>
      <c r="H663" s="6" t="s">
        <f>=B663+H662</f>
      </c>
      <c r="I663" s="6" t="s">
        <f>=G663*H662</f>
      </c>
    </row>
    <row collapsed="false" customFormat="false" customHeight="false" hidden="false" ht="12.1" outlineLevel="0" r="664">
      <c r="A664" s="14" t="n">
        <v>45623</v>
      </c>
      <c r="B664" s="6" t="n">
        <v>-33.96</v>
      </c>
      <c r="C664" s="6" t="n">
        <v>-33.96</v>
      </c>
      <c r="D664" s="2" t="s">
        <v>632</v>
      </c>
      <c r="E664" s="2"/>
      <c r="F664" s="2"/>
      <c r="G664" s="6" t="s">
        <f>=A664-A663</f>
      </c>
      <c r="H664" s="6" t="s">
        <f>=B664+H663</f>
      </c>
      <c r="I664" s="6" t="s">
        <f>=G664*H663</f>
      </c>
    </row>
    <row collapsed="false" customFormat="false" customHeight="false" hidden="false" ht="12.1" outlineLevel="0" r="665">
      <c r="A665" s="14" t="n">
        <v>45623</v>
      </c>
      <c r="B665" s="6" t="n">
        <v>-426.33</v>
      </c>
      <c r="C665" s="6" t="n">
        <v>-426.33</v>
      </c>
      <c r="D665" s="2" t="s">
        <v>633</v>
      </c>
      <c r="E665" s="2"/>
      <c r="F665" s="2"/>
      <c r="G665" s="6" t="s">
        <f>=A665-A664</f>
      </c>
      <c r="H665" s="6" t="s">
        <f>=B665+H664</f>
      </c>
      <c r="I665" s="6" t="s">
        <f>=G665*H664</f>
      </c>
    </row>
    <row collapsed="false" customFormat="false" customHeight="false" hidden="false" ht="12.1" outlineLevel="0" r="666">
      <c r="A666" s="14" t="n">
        <v>45623</v>
      </c>
      <c r="B666" s="6" t="n">
        <v>-65.78</v>
      </c>
      <c r="C666" s="6" t="n">
        <v>-65.78</v>
      </c>
      <c r="D666" s="2" t="s">
        <v>634</v>
      </c>
      <c r="E666" s="2"/>
      <c r="F666" s="2"/>
      <c r="G666" s="6" t="s">
        <f>=A666-A665</f>
      </c>
      <c r="H666" s="6" t="s">
        <f>=B666+H665</f>
      </c>
      <c r="I666" s="6" t="s">
        <f>=G666*H665</f>
      </c>
    </row>
    <row collapsed="false" customFormat="false" customHeight="false" hidden="false" ht="12.1" outlineLevel="0" r="667">
      <c r="A667" s="14" t="n">
        <v>45623.624259259</v>
      </c>
      <c r="B667" s="6" t="n">
        <v>11.18</v>
      </c>
      <c r="C667" s="6" t="n">
        <v>11.18</v>
      </c>
      <c r="D667" s="2" t="s">
        <v>602</v>
      </c>
      <c r="E667" s="2"/>
      <c r="F667" s="2"/>
      <c r="G667" s="6" t="s">
        <f>=A667-A666</f>
      </c>
      <c r="H667" s="6" t="s">
        <f>=B667+H666</f>
      </c>
      <c r="I667" s="6" t="s">
        <f>=G667*H666</f>
      </c>
    </row>
    <row collapsed="false" customFormat="false" customHeight="false" hidden="false" ht="12.1" outlineLevel="0" r="668">
      <c r="A668" s="14" t="n">
        <v>45623.655358796</v>
      </c>
      <c r="B668" s="6" t="n">
        <v>16.79</v>
      </c>
      <c r="C668" s="6" t="n">
        <v>16.79</v>
      </c>
      <c r="D668" s="2" t="s">
        <v>506</v>
      </c>
      <c r="E668" s="2"/>
      <c r="F668" s="2"/>
      <c r="G668" s="6" t="s">
        <f>=A668-A667</f>
      </c>
      <c r="H668" s="6" t="s">
        <f>=B668+H667</f>
      </c>
      <c r="I668" s="6" t="s">
        <f>=G668*H667</f>
      </c>
    </row>
    <row collapsed="false" customFormat="false" customHeight="false" hidden="false" ht="12.1" outlineLevel="0" r="669">
      <c r="A669" s="14" t="n">
        <v>45623.709236111</v>
      </c>
      <c r="B669" s="6" t="n">
        <v>24.93</v>
      </c>
      <c r="C669" s="6" t="n">
        <v>24.93</v>
      </c>
      <c r="D669" s="2" t="s">
        <v>635</v>
      </c>
      <c r="E669" s="2"/>
      <c r="F669" s="2"/>
      <c r="G669" s="6" t="s">
        <f>=A669-A668</f>
      </c>
      <c r="H669" s="6" t="s">
        <f>=B669+H668</f>
      </c>
      <c r="I669" s="6" t="s">
        <f>=G669*H668</f>
      </c>
    </row>
    <row collapsed="false" customFormat="false" customHeight="false" hidden="false" ht="12.1" outlineLevel="0" r="670">
      <c r="A670" s="14" t="n">
        <v>45623.788715278</v>
      </c>
      <c r="B670" s="6" t="n">
        <v>33.04</v>
      </c>
      <c r="C670" s="6" t="n">
        <v>33.04</v>
      </c>
      <c r="D670" s="2" t="s">
        <v>576</v>
      </c>
      <c r="E670" s="2"/>
      <c r="F670" s="2"/>
      <c r="G670" s="6" t="s">
        <f>=A670-A669</f>
      </c>
      <c r="H670" s="6" t="s">
        <f>=B670+H669</f>
      </c>
      <c r="I670" s="6" t="s">
        <f>=G670*H669</f>
      </c>
    </row>
    <row collapsed="false" customFormat="false" customHeight="false" hidden="false" ht="12.1" outlineLevel="0" r="671">
      <c r="A671" s="14" t="n">
        <v>45624</v>
      </c>
      <c r="B671" s="6" t="n">
        <v>426.33</v>
      </c>
      <c r="C671" s="6" t="n">
        <v>426.33</v>
      </c>
      <c r="D671" s="2" t="s">
        <v>538</v>
      </c>
      <c r="E671" s="2"/>
      <c r="F671" s="2"/>
      <c r="G671" s="6" t="s">
        <f>=A671-A670</f>
      </c>
      <c r="H671" s="6" t="s">
        <f>=B671+H670</f>
      </c>
      <c r="I671" s="6" t="s">
        <f>=G671*H670</f>
      </c>
    </row>
    <row collapsed="false" customFormat="false" customHeight="false" hidden="false" ht="12.1" outlineLevel="0" r="672">
      <c r="A672" s="14" t="n">
        <v>45624.431863426</v>
      </c>
      <c r="B672" s="6" t="n">
        <v>65.78</v>
      </c>
      <c r="C672" s="6" t="n">
        <v>65.78</v>
      </c>
      <c r="D672" s="2" t="s">
        <v>636</v>
      </c>
      <c r="E672" s="2"/>
      <c r="F672" s="2"/>
      <c r="G672" s="6" t="s">
        <f>=A672-A671</f>
      </c>
      <c r="H672" s="6" t="s">
        <f>=B672+H671</f>
      </c>
      <c r="I672" s="6" t="s">
        <f>=G672*H671</f>
      </c>
    </row>
    <row collapsed="false" customFormat="false" customHeight="false" hidden="false" ht="12.1" outlineLevel="0" r="673">
      <c r="A673" s="14" t="n">
        <v>45624.547453704</v>
      </c>
      <c r="B673" s="6" t="n">
        <v>33.96</v>
      </c>
      <c r="C673" s="6" t="n">
        <v>33.96</v>
      </c>
      <c r="D673" s="2" t="s">
        <v>440</v>
      </c>
      <c r="E673" s="2"/>
      <c r="F673" s="2"/>
      <c r="G673" s="6" t="s">
        <f>=A673-A672</f>
      </c>
      <c r="H673" s="6" t="s">
        <f>=B673+H672</f>
      </c>
      <c r="I673" s="6" t="s">
        <f>=G673*H672</f>
      </c>
    </row>
    <row collapsed="false" customFormat="false" customHeight="false" hidden="false" ht="12.1" outlineLevel="0" r="674">
      <c r="A674" s="14" t="n">
        <v>45625</v>
      </c>
      <c r="B674" s="6" t="n">
        <v>-24.81</v>
      </c>
      <c r="C674" s="6" t="n">
        <v>-24.81</v>
      </c>
      <c r="D674" s="2" t="s">
        <v>365</v>
      </c>
      <c r="E674" s="2"/>
      <c r="F674" s="2"/>
      <c r="G674" s="6" t="s">
        <f>=A674-A673</f>
      </c>
      <c r="H674" s="6" t="s">
        <f>=B674+H673</f>
      </c>
      <c r="I674" s="6" t="s">
        <f>=G674*H673</f>
      </c>
    </row>
    <row collapsed="false" customFormat="false" customHeight="false" hidden="false" ht="12.1" outlineLevel="0" r="675">
      <c r="A675" s="14" t="n">
        <v>45628</v>
      </c>
      <c r="B675" s="6" t="n">
        <v>-39.9</v>
      </c>
      <c r="C675" s="6" t="n">
        <v>-39.9</v>
      </c>
      <c r="D675" s="2" t="s">
        <v>589</v>
      </c>
      <c r="E675" s="2"/>
      <c r="F675" s="2"/>
      <c r="G675" s="6" t="s">
        <f>=A675-A674</f>
      </c>
      <c r="H675" s="6" t="s">
        <f>=B675+H674</f>
      </c>
      <c r="I675" s="6" t="s">
        <f>=G675*H674</f>
      </c>
    </row>
    <row collapsed="false" customFormat="false" customHeight="false" hidden="false" ht="12.1" outlineLevel="0" r="676">
      <c r="A676" s="14" t="n">
        <v>45628.504849537</v>
      </c>
      <c r="B676" s="6" t="n">
        <v>24.81</v>
      </c>
      <c r="C676" s="6" t="n">
        <v>24.81</v>
      </c>
      <c r="D676" s="2" t="s">
        <v>366</v>
      </c>
      <c r="E676" s="2"/>
      <c r="F676" s="2"/>
      <c r="G676" s="6" t="s">
        <f>=A676-A675</f>
      </c>
      <c r="H676" s="6" t="s">
        <f>=B676+H675</f>
      </c>
      <c r="I676" s="6" t="s">
        <f>=G676*H675</f>
      </c>
    </row>
    <row collapsed="false" customFormat="false" customHeight="false" hidden="false" ht="12.1" outlineLevel="0" r="677">
      <c r="A677" s="14" t="n">
        <v>45629</v>
      </c>
      <c r="B677" s="6" t="n">
        <v>-29.17</v>
      </c>
      <c r="C677" s="6" t="n">
        <v>-29.17</v>
      </c>
      <c r="D677" s="2" t="s">
        <v>637</v>
      </c>
      <c r="E677" s="2"/>
      <c r="F677" s="2"/>
      <c r="G677" s="6" t="s">
        <f>=A677-A676</f>
      </c>
      <c r="H677" s="6" t="s">
        <f>=B677+H676</f>
      </c>
      <c r="I677" s="6" t="s">
        <f>=G677*H676</f>
      </c>
    </row>
    <row collapsed="false" customFormat="false" customHeight="false" hidden="false" ht="12.1" outlineLevel="0" r="678">
      <c r="A678" s="14" t="n">
        <v>45629</v>
      </c>
      <c r="B678" s="6" t="n">
        <v>-56.1</v>
      </c>
      <c r="C678" s="6" t="n">
        <v>-56.1</v>
      </c>
      <c r="D678" s="2" t="s">
        <v>468</v>
      </c>
      <c r="E678" s="2"/>
      <c r="F678" s="2"/>
      <c r="G678" s="6" t="s">
        <f>=A678-A677</f>
      </c>
      <c r="H678" s="6" t="s">
        <f>=B678+H677</f>
      </c>
      <c r="I678" s="6" t="s">
        <f>=G678*H677</f>
      </c>
    </row>
    <row collapsed="false" customFormat="false" customHeight="false" hidden="false" ht="12.1" outlineLevel="0" r="679">
      <c r="A679" s="14" t="n">
        <v>45629.628576389</v>
      </c>
      <c r="B679" s="6" t="n">
        <v>39.9</v>
      </c>
      <c r="C679" s="6" t="n">
        <v>39.9</v>
      </c>
      <c r="D679" s="2" t="s">
        <v>541</v>
      </c>
      <c r="E679" s="2"/>
      <c r="F679" s="2"/>
      <c r="G679" s="6" t="s">
        <f>=A679-A678</f>
      </c>
      <c r="H679" s="6" t="s">
        <f>=B679+H678</f>
      </c>
      <c r="I679" s="6" t="s">
        <f>=G679*H678</f>
      </c>
    </row>
    <row collapsed="false" customFormat="false" customHeight="false" hidden="false" ht="12.1" outlineLevel="0" r="680">
      <c r="A680" s="14" t="n">
        <v>45630</v>
      </c>
      <c r="B680" s="6" t="n">
        <v>-56.84</v>
      </c>
      <c r="C680" s="6" t="n">
        <v>-56.84</v>
      </c>
      <c r="D680" s="2" t="s">
        <v>638</v>
      </c>
      <c r="E680" s="2"/>
      <c r="F680" s="2"/>
      <c r="G680" s="6" t="s">
        <f>=A680-A679</f>
      </c>
      <c r="H680" s="6" t="s">
        <f>=B680+H679</f>
      </c>
      <c r="I680" s="6" t="s">
        <f>=G680*H679</f>
      </c>
    </row>
    <row collapsed="false" customFormat="false" customHeight="false" hidden="false" ht="12.1" outlineLevel="0" r="681">
      <c r="A681" s="14" t="n">
        <v>45630</v>
      </c>
      <c r="B681" s="6" t="n">
        <v>-68.13</v>
      </c>
      <c r="C681" s="6" t="n">
        <v>-68.13</v>
      </c>
      <c r="D681" s="2" t="s">
        <v>639</v>
      </c>
      <c r="E681" s="2"/>
      <c r="F681" s="2"/>
      <c r="G681" s="6" t="s">
        <f>=A681-A680</f>
      </c>
      <c r="H681" s="6" t="s">
        <f>=B681+H680</f>
      </c>
      <c r="I681" s="6" t="s">
        <f>=G681*H680</f>
      </c>
    </row>
    <row collapsed="false" customFormat="false" customHeight="false" hidden="false" ht="12.1" outlineLevel="0" r="682">
      <c r="A682" s="14" t="n">
        <v>45630</v>
      </c>
      <c r="B682" s="6" t="n">
        <v>-488.7</v>
      </c>
      <c r="C682" s="6" t="n">
        <v>-488.7</v>
      </c>
      <c r="D682" s="2" t="s">
        <v>640</v>
      </c>
      <c r="E682" s="2"/>
      <c r="F682" s="2"/>
      <c r="G682" s="6" t="s">
        <f>=A682-A681</f>
      </c>
      <c r="H682" s="6" t="s">
        <f>=B682+H681</f>
      </c>
      <c r="I682" s="6" t="s">
        <f>=G682*H681</f>
      </c>
    </row>
    <row collapsed="false" customFormat="false" customHeight="false" hidden="false" ht="12.1" outlineLevel="0" r="683">
      <c r="A683" s="14" t="n">
        <v>45630</v>
      </c>
      <c r="B683" s="6" t="n">
        <v>-19.87</v>
      </c>
      <c r="C683" s="6" t="n">
        <v>-19.87</v>
      </c>
      <c r="D683" s="2" t="s">
        <v>367</v>
      </c>
      <c r="E683" s="2"/>
      <c r="F683" s="2"/>
      <c r="G683" s="6" t="s">
        <f>=A683-A682</f>
      </c>
      <c r="H683" s="6" t="s">
        <f>=B683+H682</f>
      </c>
      <c r="I683" s="6" t="s">
        <f>=G683*H682</f>
      </c>
    </row>
    <row collapsed="false" customFormat="false" customHeight="false" hidden="false" ht="12.1" outlineLevel="0" r="684">
      <c r="A684" s="14" t="n">
        <v>45630</v>
      </c>
      <c r="B684" s="6" t="n">
        <v>-65.32</v>
      </c>
      <c r="C684" s="6" t="n">
        <v>-65.32</v>
      </c>
      <c r="D684" s="2" t="s">
        <v>543</v>
      </c>
      <c r="E684" s="2"/>
      <c r="F684" s="2"/>
      <c r="G684" s="6" t="s">
        <f>=A684-A683</f>
      </c>
      <c r="H684" s="6" t="s">
        <f>=B684+H683</f>
      </c>
      <c r="I684" s="6" t="s">
        <f>=G684*H683</f>
      </c>
    </row>
    <row collapsed="false" customFormat="false" customHeight="false" hidden="false" ht="12.1" outlineLevel="0" r="685">
      <c r="A685" s="14" t="n">
        <v>45630</v>
      </c>
      <c r="B685" s="6" t="n">
        <v>-778.8</v>
      </c>
      <c r="C685" s="6" t="n">
        <v>-778.8</v>
      </c>
      <c r="D685" s="2" t="s">
        <v>641</v>
      </c>
      <c r="E685" s="2"/>
      <c r="F685" s="2"/>
      <c r="G685" s="6" t="s">
        <f>=A685-A684</f>
      </c>
      <c r="H685" s="6" t="s">
        <f>=B685+H684</f>
      </c>
      <c r="I685" s="6" t="s">
        <f>=G685*H684</f>
      </c>
    </row>
    <row collapsed="false" customFormat="false" customHeight="false" hidden="false" ht="12.1" outlineLevel="0" r="686">
      <c r="A686" s="14" t="n">
        <v>45630</v>
      </c>
      <c r="B686" s="6" t="n">
        <v>-19.55</v>
      </c>
      <c r="C686" s="6" t="n">
        <v>-19.55</v>
      </c>
      <c r="D686" s="2" t="s">
        <v>642</v>
      </c>
      <c r="E686" s="2"/>
      <c r="F686" s="2"/>
      <c r="G686" s="6" t="s">
        <f>=A686-A685</f>
      </c>
      <c r="H686" s="6" t="s">
        <f>=B686+H685</f>
      </c>
      <c r="I686" s="6" t="s">
        <f>=G686*H685</f>
      </c>
    </row>
    <row collapsed="false" customFormat="false" customHeight="false" hidden="false" ht="12.1" outlineLevel="0" r="687">
      <c r="A687" s="14" t="n">
        <v>45630</v>
      </c>
      <c r="B687" s="6" t="n">
        <v>-67</v>
      </c>
      <c r="C687" s="6" t="n">
        <v>-67</v>
      </c>
      <c r="D687" s="2" t="s">
        <v>499</v>
      </c>
      <c r="E687" s="2"/>
      <c r="F687" s="2"/>
      <c r="G687" s="6" t="s">
        <f>=A687-A686</f>
      </c>
      <c r="H687" s="6" t="s">
        <f>=B687+H686</f>
      </c>
      <c r="I687" s="6" t="s">
        <f>=G687*H686</f>
      </c>
    </row>
    <row collapsed="false" customFormat="false" customHeight="false" hidden="false" ht="12.1" outlineLevel="0" r="688">
      <c r="A688" s="14" t="n">
        <v>45630.519895833</v>
      </c>
      <c r="B688" s="6" t="n">
        <v>56.1</v>
      </c>
      <c r="C688" s="6" t="n">
        <v>56.1</v>
      </c>
      <c r="D688" s="2" t="s">
        <v>471</v>
      </c>
      <c r="E688" s="2"/>
      <c r="F688" s="2"/>
      <c r="G688" s="6" t="s">
        <f>=A688-A687</f>
      </c>
      <c r="H688" s="6" t="s">
        <f>=B688+H687</f>
      </c>
      <c r="I688" s="6" t="s">
        <f>=G688*H687</f>
      </c>
    </row>
    <row collapsed="false" customFormat="false" customHeight="false" hidden="false" ht="12.1" outlineLevel="0" r="689">
      <c r="A689" s="14" t="n">
        <v>45630.521851852</v>
      </c>
      <c r="B689" s="6" t="n">
        <v>29.17</v>
      </c>
      <c r="C689" s="6" t="n">
        <v>29.17</v>
      </c>
      <c r="D689" s="2" t="s">
        <v>643</v>
      </c>
      <c r="E689" s="2"/>
      <c r="F689" s="2"/>
      <c r="G689" s="6" t="s">
        <f>=A689-A688</f>
      </c>
      <c r="H689" s="6" t="s">
        <f>=B689+H688</f>
      </c>
      <c r="I689" s="6" t="s">
        <f>=G689*H688</f>
      </c>
    </row>
    <row collapsed="false" customFormat="false" customHeight="false" hidden="false" ht="12.1" outlineLevel="0" r="690">
      <c r="A690" s="14" t="n">
        <v>45631</v>
      </c>
      <c r="B690" s="6" t="n">
        <v>-35.53</v>
      </c>
      <c r="C690" s="6" t="n">
        <v>-35.53</v>
      </c>
      <c r="D690" s="2" t="s">
        <v>644</v>
      </c>
      <c r="E690" s="2"/>
      <c r="F690" s="2"/>
      <c r="G690" s="6" t="s">
        <f>=A690-A689</f>
      </c>
      <c r="H690" s="6" t="s">
        <f>=B690+H689</f>
      </c>
      <c r="I690" s="6" t="s">
        <f>=G690*H689</f>
      </c>
    </row>
    <row collapsed="false" customFormat="false" customHeight="false" hidden="false" ht="12.1" outlineLevel="0" r="691">
      <c r="A691" s="14" t="n">
        <v>45631</v>
      </c>
      <c r="B691" s="6" t="n">
        <v>-9.8</v>
      </c>
      <c r="C691" s="6" t="n">
        <v>-9.8</v>
      </c>
      <c r="D691" s="2" t="s">
        <v>645</v>
      </c>
      <c r="E691" s="2"/>
      <c r="F691" s="2"/>
      <c r="G691" s="6" t="s">
        <f>=A691-A690</f>
      </c>
      <c r="H691" s="6" t="s">
        <f>=B691+H690</f>
      </c>
      <c r="I691" s="6" t="s">
        <f>=G691*H690</f>
      </c>
    </row>
    <row collapsed="false" customFormat="false" customHeight="false" hidden="false" ht="12.1" outlineLevel="0" r="692">
      <c r="A692" s="14" t="n">
        <v>45631.463472222</v>
      </c>
      <c r="B692" s="6" t="n">
        <v>778.8</v>
      </c>
      <c r="C692" s="6" t="n">
        <v>778.8</v>
      </c>
      <c r="D692" s="2" t="s">
        <v>413</v>
      </c>
      <c r="E692" s="2"/>
      <c r="F692" s="2"/>
      <c r="G692" s="6" t="s">
        <f>=A692-A691</f>
      </c>
      <c r="H692" s="6" t="s">
        <f>=B692+H691</f>
      </c>
      <c r="I692" s="6" t="s">
        <f>=G692*H691</f>
      </c>
    </row>
    <row collapsed="false" customFormat="false" customHeight="false" hidden="false" ht="12.1" outlineLevel="0" r="693">
      <c r="A693" s="14" t="n">
        <v>45631.48</v>
      </c>
      <c r="B693" s="6" t="n">
        <v>488.7</v>
      </c>
      <c r="C693" s="6" t="n">
        <v>488.7</v>
      </c>
      <c r="D693" s="2" t="s">
        <v>472</v>
      </c>
      <c r="E693" s="2"/>
      <c r="F693" s="2"/>
      <c r="G693" s="6" t="s">
        <f>=A693-A692</f>
      </c>
      <c r="H693" s="6" t="s">
        <f>=B693+H692</f>
      </c>
      <c r="I693" s="6" t="s">
        <f>=G693*H692</f>
      </c>
    </row>
    <row collapsed="false" customFormat="false" customHeight="false" hidden="false" ht="12.1" outlineLevel="0" r="694">
      <c r="A694" s="14" t="n">
        <v>45631.500243056</v>
      </c>
      <c r="B694" s="6" t="n">
        <v>68.13</v>
      </c>
      <c r="C694" s="6" t="n">
        <v>68.13</v>
      </c>
      <c r="D694" s="2" t="s">
        <v>646</v>
      </c>
      <c r="E694" s="2"/>
      <c r="F694" s="2"/>
      <c r="G694" s="6" t="s">
        <f>=A694-A693</f>
      </c>
      <c r="H694" s="6" t="s">
        <f>=B694+H693</f>
      </c>
      <c r="I694" s="6" t="s">
        <f>=G694*H693</f>
      </c>
    </row>
    <row collapsed="false" customFormat="false" customHeight="false" hidden="false" ht="12.1" outlineLevel="0" r="695">
      <c r="A695" s="14" t="n">
        <v>45631.577962963</v>
      </c>
      <c r="B695" s="6" t="n">
        <v>56.84</v>
      </c>
      <c r="C695" s="6" t="n">
        <v>56.84</v>
      </c>
      <c r="D695" s="2" t="s">
        <v>647</v>
      </c>
      <c r="E695" s="2"/>
      <c r="F695" s="2"/>
      <c r="G695" s="6" t="s">
        <f>=A695-A694</f>
      </c>
      <c r="H695" s="6" t="s">
        <f>=B695+H694</f>
      </c>
      <c r="I695" s="6" t="s">
        <f>=G695*H694</f>
      </c>
    </row>
    <row collapsed="false" customFormat="false" customHeight="false" hidden="false" ht="12.1" outlineLevel="0" r="696">
      <c r="A696" s="14" t="n">
        <v>45631.628101852</v>
      </c>
      <c r="B696" s="6" t="n">
        <v>65.32</v>
      </c>
      <c r="C696" s="6" t="n">
        <v>65.32</v>
      </c>
      <c r="D696" s="2" t="s">
        <v>412</v>
      </c>
      <c r="E696" s="2"/>
      <c r="F696" s="2"/>
      <c r="G696" s="6" t="s">
        <f>=A696-A695</f>
      </c>
      <c r="H696" s="6" t="s">
        <f>=B696+H695</f>
      </c>
      <c r="I696" s="6" t="s">
        <f>=G696*H695</f>
      </c>
    </row>
    <row collapsed="false" customFormat="false" customHeight="false" hidden="false" ht="12.1" outlineLevel="0" r="697">
      <c r="A697" s="14" t="n">
        <v>45631.684201389</v>
      </c>
      <c r="B697" s="6" t="n">
        <v>19.55</v>
      </c>
      <c r="C697" s="6" t="n">
        <v>19.55</v>
      </c>
      <c r="D697" s="2" t="s">
        <v>648</v>
      </c>
      <c r="E697" s="2"/>
      <c r="F697" s="2"/>
      <c r="G697" s="6" t="s">
        <f>=A697-A696</f>
      </c>
      <c r="H697" s="6" t="s">
        <f>=B697+H696</f>
      </c>
      <c r="I697" s="6" t="s">
        <f>=G697*H696</f>
      </c>
    </row>
    <row collapsed="false" customFormat="false" customHeight="false" hidden="false" ht="12.1" outlineLevel="0" r="698">
      <c r="A698" s="14" t="n">
        <v>45631.688402778</v>
      </c>
      <c r="B698" s="6" t="n">
        <v>19.87</v>
      </c>
      <c r="C698" s="6" t="n">
        <v>19.87</v>
      </c>
      <c r="D698" s="2" t="s">
        <v>368</v>
      </c>
      <c r="E698" s="2"/>
      <c r="F698" s="2"/>
      <c r="G698" s="6" t="s">
        <f>=A698-A697</f>
      </c>
      <c r="H698" s="6" t="s">
        <f>=B698+H697</f>
      </c>
      <c r="I698" s="6" t="s">
        <f>=G698*H697</f>
      </c>
    </row>
    <row collapsed="false" customFormat="false" customHeight="false" hidden="false" ht="12.1" outlineLevel="0" r="699">
      <c r="A699" s="14" t="n">
        <v>45632.781006944</v>
      </c>
      <c r="B699" s="6" t="n">
        <v>67</v>
      </c>
      <c r="C699" s="6" t="n">
        <v>67</v>
      </c>
      <c r="D699" s="2" t="s">
        <v>502</v>
      </c>
      <c r="E699" s="2"/>
      <c r="F699" s="2"/>
      <c r="G699" s="6" t="s">
        <f>=A699-A698</f>
      </c>
      <c r="H699" s="6" t="s">
        <f>=B699+H698</f>
      </c>
      <c r="I699" s="6" t="s">
        <f>=G699*H698</f>
      </c>
    </row>
    <row collapsed="false" customFormat="false" customHeight="false" hidden="false" ht="12.1" outlineLevel="0" r="700">
      <c r="A700" s="14" t="n">
        <v>45632.782233796</v>
      </c>
      <c r="B700" s="6" t="n">
        <v>9.8</v>
      </c>
      <c r="C700" s="6" t="n">
        <v>9.8</v>
      </c>
      <c r="D700" s="2" t="s">
        <v>503</v>
      </c>
      <c r="E700" s="2"/>
      <c r="F700" s="2"/>
      <c r="G700" s="6" t="s">
        <f>=A700-A699</f>
      </c>
      <c r="H700" s="6" t="s">
        <f>=B700+H699</f>
      </c>
      <c r="I700" s="6" t="s">
        <f>=G700*H699</f>
      </c>
    </row>
    <row collapsed="false" customFormat="false" customHeight="false" hidden="false" ht="12.1" outlineLevel="0" r="701">
      <c r="A701" s="14" t="n">
        <v>45632.794340278</v>
      </c>
      <c r="B701" s="6" t="n">
        <v>35.53</v>
      </c>
      <c r="C701" s="6" t="n">
        <v>35.53</v>
      </c>
      <c r="D701" s="2" t="s">
        <v>649</v>
      </c>
      <c r="E701" s="2"/>
      <c r="F701" s="2"/>
      <c r="G701" s="6" t="s">
        <f>=A701-A700</f>
      </c>
      <c r="H701" s="6" t="s">
        <f>=B701+H700</f>
      </c>
      <c r="I701" s="6" t="s">
        <f>=G701*H700</f>
      </c>
    </row>
    <row collapsed="false" customFormat="false" customHeight="false" hidden="false" ht="12.1" outlineLevel="0" r="702">
      <c r="A702" s="14" t="n">
        <v>45635</v>
      </c>
      <c r="B702" s="6" t="n">
        <v>-35</v>
      </c>
      <c r="C702" s="6" t="n">
        <v>-35</v>
      </c>
      <c r="D702" s="2" t="s">
        <v>473</v>
      </c>
      <c r="E702" s="2"/>
      <c r="F702" s="2"/>
      <c r="G702" s="6" t="s">
        <f>=A702-A701</f>
      </c>
      <c r="H702" s="6" t="s">
        <f>=B702+H701</f>
      </c>
      <c r="I702" s="6" t="s">
        <f>=G702*H701</f>
      </c>
    </row>
    <row collapsed="false" customFormat="false" customHeight="false" hidden="false" ht="12.1" outlineLevel="0" r="703">
      <c r="A703" s="14" t="n">
        <v>45636</v>
      </c>
      <c r="B703" s="6" t="n">
        <v>-30.12</v>
      </c>
      <c r="C703" s="6" t="n">
        <v>-30.12</v>
      </c>
      <c r="D703" s="2" t="s">
        <v>547</v>
      </c>
      <c r="E703" s="2"/>
      <c r="F703" s="2"/>
      <c r="G703" s="6" t="s">
        <f>=A703-A702</f>
      </c>
      <c r="H703" s="6" t="s">
        <f>=B703+H702</f>
      </c>
      <c r="I703" s="6" t="s">
        <f>=G703*H702</f>
      </c>
    </row>
    <row collapsed="false" customFormat="false" customHeight="false" hidden="false" ht="12.1" outlineLevel="0" r="704">
      <c r="A704" s="14" t="n">
        <v>45637</v>
      </c>
      <c r="B704" s="6" t="n">
        <v>30.12</v>
      </c>
      <c r="C704" s="6" t="n">
        <v>30.12</v>
      </c>
      <c r="D704" s="2" t="s">
        <v>415</v>
      </c>
      <c r="E704" s="2"/>
      <c r="F704" s="2"/>
      <c r="G704" s="6" t="s">
        <f>=A704-A703</f>
      </c>
      <c r="H704" s="6" t="s">
        <f>=B704+H703</f>
      </c>
      <c r="I704" s="6" t="s">
        <f>=G704*H703</f>
      </c>
    </row>
    <row collapsed="false" customFormat="false" customHeight="false" hidden="false" ht="12.1" outlineLevel="0" r="705">
      <c r="A705" s="14" t="n">
        <v>45637</v>
      </c>
      <c r="B705" s="6" t="n">
        <v>35</v>
      </c>
      <c r="C705" s="6" t="n">
        <v>35</v>
      </c>
      <c r="D705" s="2" t="s">
        <v>474</v>
      </c>
      <c r="E705" s="2"/>
      <c r="F705" s="2"/>
      <c r="G705" s="6" t="s">
        <f>=A705-A704</f>
      </c>
      <c r="H705" s="6" t="s">
        <f>=B705+H704</f>
      </c>
      <c r="I705" s="6" t="s">
        <f>=G705*H704</f>
      </c>
    </row>
    <row collapsed="false" customFormat="false" customHeight="false" hidden="false" ht="12.1" outlineLevel="0" r="706">
      <c r="A706" s="14" t="n">
        <v>45639</v>
      </c>
      <c r="B706" s="6" t="n">
        <v>-1301.75</v>
      </c>
      <c r="C706" s="6" t="n">
        <v>-1301.75</v>
      </c>
      <c r="D706" s="2" t="s">
        <v>650</v>
      </c>
      <c r="E706" s="2"/>
      <c r="F706" s="2"/>
      <c r="G706" s="6" t="s">
        <f>=A706-A705</f>
      </c>
      <c r="H706" s="6" t="s">
        <f>=B706+H705</f>
      </c>
      <c r="I706" s="6" t="s">
        <f>=G706*H705</f>
      </c>
    </row>
    <row collapsed="false" customFormat="false" customHeight="false" hidden="false" ht="12.1" outlineLevel="0" r="707">
      <c r="A707" s="14" t="n">
        <v>45639</v>
      </c>
      <c r="B707" s="6" t="n">
        <v>11200</v>
      </c>
      <c r="C707" s="6" t="n">
        <v>11200</v>
      </c>
      <c r="D707" s="2" t="s">
        <v>336</v>
      </c>
      <c r="E707" s="2"/>
      <c r="F707" s="2"/>
      <c r="G707" s="6" t="s">
        <f>=A707-A706</f>
      </c>
      <c r="H707" s="6" t="s">
        <f>=B707+H706</f>
      </c>
      <c r="I707" s="6" t="s">
        <f>=G707*H706</f>
      </c>
    </row>
    <row collapsed="false" customFormat="false" customHeight="false" hidden="false" ht="12.1" outlineLevel="0" r="708">
      <c r="A708" s="14" t="n">
        <v>45643.579560185</v>
      </c>
      <c r="B708" s="6" t="n">
        <v>1301.75</v>
      </c>
      <c r="C708" s="6" t="n">
        <v>1301.75</v>
      </c>
      <c r="D708" s="2" t="s">
        <v>651</v>
      </c>
      <c r="E708" s="2"/>
      <c r="F708" s="2"/>
      <c r="G708" s="6" t="s">
        <f>=A708-A707</f>
      </c>
      <c r="H708" s="6" t="s">
        <f>=B708+H707</f>
      </c>
      <c r="I708" s="6" t="s">
        <f>=G708*H707</f>
      </c>
    </row>
    <row collapsed="false" customFormat="false" customHeight="false" hidden="false" ht="12.1" outlineLevel="0" r="709">
      <c r="A709" s="14" t="n">
        <v>45644</v>
      </c>
      <c r="B709" s="6" t="n">
        <v>-863.1</v>
      </c>
      <c r="C709" s="6" t="n">
        <v>-863.1</v>
      </c>
      <c r="D709" s="2" t="s">
        <v>652</v>
      </c>
      <c r="E709" s="2"/>
      <c r="F709" s="2"/>
      <c r="G709" s="6" t="s">
        <f>=A709-A708</f>
      </c>
      <c r="H709" s="6" t="s">
        <f>=B709+H708</f>
      </c>
      <c r="I709" s="6" t="s">
        <f>=G709*H708</f>
      </c>
    </row>
    <row collapsed="false" customFormat="false" customHeight="false" hidden="false" ht="12.1" outlineLevel="0" r="710">
      <c r="A710" s="14" t="n">
        <v>45645</v>
      </c>
      <c r="B710" s="6" t="n">
        <v>863.1</v>
      </c>
      <c r="C710" s="6" t="n">
        <v>863.1</v>
      </c>
      <c r="D710" s="2" t="s">
        <v>370</v>
      </c>
      <c r="E710" s="2"/>
      <c r="F710" s="2"/>
      <c r="G710" s="6" t="s">
        <f>=A710-A709</f>
      </c>
      <c r="H710" s="6" t="s">
        <f>=B710+H709</f>
      </c>
      <c r="I710" s="6" t="s">
        <f>=G710*H709</f>
      </c>
    </row>
    <row collapsed="false" customFormat="false" customHeight="false" hidden="false" ht="12.1" outlineLevel="0" r="711">
      <c r="A711" s="14" t="n">
        <v>45649</v>
      </c>
      <c r="B711" s="6" t="n">
        <v>-150</v>
      </c>
      <c r="C711" s="6" t="n">
        <v>-150</v>
      </c>
      <c r="D711" s="2" t="s">
        <v>551</v>
      </c>
      <c r="E711" s="2"/>
      <c r="F711" s="2"/>
      <c r="G711" s="6" t="s">
        <f>=A711-A710</f>
      </c>
      <c r="H711" s="6" t="s">
        <f>=B711+H710</f>
      </c>
      <c r="I711" s="6" t="s">
        <f>=G711*H710</f>
      </c>
    </row>
    <row collapsed="false" customFormat="false" customHeight="false" hidden="false" ht="12.1" outlineLevel="0" r="712">
      <c r="A712" s="14" t="n">
        <v>45650</v>
      </c>
      <c r="B712" s="6" t="n">
        <v>-7.85</v>
      </c>
      <c r="C712" s="6" t="n">
        <v>-7.85</v>
      </c>
      <c r="D712" s="2" t="s">
        <v>653</v>
      </c>
      <c r="E712" s="2"/>
      <c r="F712" s="2"/>
      <c r="G712" s="6" t="s">
        <f>=A712-A711</f>
      </c>
      <c r="H712" s="6" t="s">
        <f>=B712+H711</f>
      </c>
      <c r="I712" s="6" t="s">
        <f>=G712*H711</f>
      </c>
    </row>
    <row collapsed="false" customFormat="false" customHeight="false" hidden="false" ht="12.1" outlineLevel="0" r="713">
      <c r="A713" s="14" t="n">
        <v>45650</v>
      </c>
      <c r="B713" s="6" t="n">
        <v>-11.18</v>
      </c>
      <c r="C713" s="6" t="n">
        <v>-11.18</v>
      </c>
      <c r="D713" s="2" t="s">
        <v>598</v>
      </c>
      <c r="E713" s="2"/>
      <c r="F713" s="2"/>
      <c r="G713" s="6" t="s">
        <f>=A713-A712</f>
      </c>
      <c r="H713" s="6" t="s">
        <f>=B713+H712</f>
      </c>
      <c r="I713" s="6" t="s">
        <f>=G713*H712</f>
      </c>
    </row>
    <row collapsed="false" customFormat="false" customHeight="false" hidden="false" ht="12.1" outlineLevel="0" r="714">
      <c r="A714" s="14" t="n">
        <v>45651</v>
      </c>
      <c r="B714" s="6" t="n">
        <v>-18.06</v>
      </c>
      <c r="C714" s="6" t="n">
        <v>-18.06</v>
      </c>
      <c r="D714" s="2" t="s">
        <v>654</v>
      </c>
      <c r="E714" s="2"/>
      <c r="F714" s="2"/>
      <c r="G714" s="6" t="s">
        <f>=A714-A713</f>
      </c>
      <c r="H714" s="6" t="s">
        <f>=B714+H713</f>
      </c>
      <c r="I714" s="6" t="s">
        <f>=G714*H713</f>
      </c>
    </row>
    <row collapsed="false" customFormat="false" customHeight="false" hidden="false" ht="12.1" outlineLevel="0" r="715">
      <c r="A715" s="14" t="n">
        <v>45651</v>
      </c>
      <c r="B715" s="6" t="n">
        <v>7.85</v>
      </c>
      <c r="C715" s="6" t="n">
        <v>7.85</v>
      </c>
      <c r="D715" s="2" t="s">
        <v>448</v>
      </c>
      <c r="E715" s="2"/>
      <c r="F715" s="2"/>
      <c r="G715" s="6" t="s">
        <f>=A715-A714</f>
      </c>
      <c r="H715" s="6" t="s">
        <f>=B715+H714</f>
      </c>
      <c r="I715" s="6" t="s">
        <f>=G715*H714</f>
      </c>
    </row>
    <row collapsed="false" customFormat="false" customHeight="false" hidden="false" ht="12.1" outlineLevel="0" r="716">
      <c r="A716" s="14" t="n">
        <v>45651</v>
      </c>
      <c r="B716" s="6" t="n">
        <v>150</v>
      </c>
      <c r="C716" s="6" t="n">
        <v>150</v>
      </c>
      <c r="D716" s="2" t="s">
        <v>447</v>
      </c>
      <c r="E716" s="2"/>
      <c r="F716" s="2"/>
      <c r="G716" s="6" t="s">
        <f>=A716-A715</f>
      </c>
      <c r="H716" s="6" t="s">
        <f>=B716+H715</f>
      </c>
      <c r="I716" s="6" t="s">
        <f>=G716*H715</f>
      </c>
    </row>
    <row collapsed="false" customFormat="false" customHeight="false" hidden="false" ht="12.1" outlineLevel="0" r="717">
      <c r="A717" s="14" t="n">
        <v>45651.784016204</v>
      </c>
      <c r="B717" s="6" t="n">
        <v>11.18</v>
      </c>
      <c r="C717" s="6" t="n">
        <v>11.18</v>
      </c>
      <c r="D717" s="2" t="s">
        <v>602</v>
      </c>
      <c r="E717" s="2"/>
      <c r="F717" s="2"/>
      <c r="G717" s="6" t="s">
        <f>=A717-A716</f>
      </c>
      <c r="H717" s="6" t="s">
        <f>=B717+H716</f>
      </c>
      <c r="I717" s="6" t="s">
        <f>=G717*H716</f>
      </c>
    </row>
    <row collapsed="false" customFormat="false" customHeight="false" hidden="false" ht="12.1" outlineLevel="0" r="718">
      <c r="A718" s="14" t="n">
        <v>45652</v>
      </c>
      <c r="B718" s="6" t="n">
        <v>-36.32</v>
      </c>
      <c r="C718" s="6" t="n">
        <v>-36.32</v>
      </c>
      <c r="D718" s="2" t="s">
        <v>655</v>
      </c>
      <c r="E718" s="2"/>
      <c r="F718" s="2"/>
      <c r="G718" s="6" t="s">
        <f>=A718-A717</f>
      </c>
      <c r="H718" s="6" t="s">
        <f>=B718+H717</f>
      </c>
      <c r="I718" s="6" t="s">
        <f>=G718*H717</f>
      </c>
    </row>
    <row collapsed="false" customFormat="false" customHeight="false" hidden="false" ht="12.1" outlineLevel="0" r="719">
      <c r="A719" s="14" t="n">
        <v>45652</v>
      </c>
      <c r="B719" s="6" t="n">
        <v>-200</v>
      </c>
      <c r="C719" s="6" t="n">
        <v>-200</v>
      </c>
      <c r="D719" s="2" t="s">
        <v>656</v>
      </c>
      <c r="E719" s="2"/>
      <c r="F719" s="2"/>
      <c r="G719" s="6" t="s">
        <f>=A719-A718</f>
      </c>
      <c r="H719" s="6" t="s">
        <f>=B719+H718</f>
      </c>
      <c r="I719" s="6" t="s">
        <f>=G719*H718</f>
      </c>
    </row>
    <row collapsed="false" customFormat="false" customHeight="false" hidden="false" ht="12.1" outlineLevel="0" r="720">
      <c r="A720" s="14" t="n">
        <v>45653</v>
      </c>
      <c r="B720" s="6" t="n">
        <v>-52.66</v>
      </c>
      <c r="C720" s="6" t="n">
        <v>-52.66</v>
      </c>
      <c r="D720" s="2" t="s">
        <v>657</v>
      </c>
      <c r="E720" s="2"/>
      <c r="F720" s="2"/>
      <c r="G720" s="6" t="s">
        <f>=A720-A719</f>
      </c>
      <c r="H720" s="6" t="s">
        <f>=B720+H719</f>
      </c>
      <c r="I720" s="6" t="s">
        <f>=G720*H719</f>
      </c>
    </row>
    <row collapsed="false" customFormat="false" customHeight="false" hidden="false" ht="12.1" outlineLevel="0" r="721">
      <c r="A721" s="14" t="n">
        <v>45653.502962963</v>
      </c>
      <c r="B721" s="6" t="n">
        <v>18.06</v>
      </c>
      <c r="C721" s="6" t="n">
        <v>18.06</v>
      </c>
      <c r="D721" s="2" t="s">
        <v>506</v>
      </c>
      <c r="E721" s="2"/>
      <c r="F721" s="2"/>
      <c r="G721" s="6" t="s">
        <f>=A721-A720</f>
      </c>
      <c r="H721" s="6" t="s">
        <f>=B721+H720</f>
      </c>
      <c r="I721" s="6" t="s">
        <f>=G721*H720</f>
      </c>
    </row>
    <row collapsed="false" customFormat="false" customHeight="false" hidden="false" ht="12.1" outlineLevel="0" r="722">
      <c r="A722" s="14" t="n">
        <v>45653.650925926</v>
      </c>
      <c r="B722" s="6" t="n">
        <v>36.32</v>
      </c>
      <c r="C722" s="6" t="n">
        <v>36.32</v>
      </c>
      <c r="D722" s="2" t="s">
        <v>576</v>
      </c>
      <c r="E722" s="2"/>
      <c r="F722" s="2"/>
      <c r="G722" s="6" t="s">
        <f>=A722-A721</f>
      </c>
      <c r="H722" s="6" t="s">
        <f>=B722+H721</f>
      </c>
      <c r="I722" s="6" t="s">
        <f>=G722*H721</f>
      </c>
    </row>
    <row collapsed="false" customFormat="false" customHeight="false" hidden="false" ht="12.1" outlineLevel="0" r="723">
      <c r="A723" s="14" t="n">
        <v>45654</v>
      </c>
      <c r="B723" s="6" t="n">
        <v>-36.78</v>
      </c>
      <c r="C723" s="6" t="n">
        <v>-36.78</v>
      </c>
      <c r="D723" s="2" t="s">
        <v>658</v>
      </c>
      <c r="E723" s="2"/>
      <c r="F723" s="2"/>
      <c r="G723" s="6" t="s">
        <f>=A723-A722</f>
      </c>
      <c r="H723" s="6" t="s">
        <f>=B723+H722</f>
      </c>
      <c r="I723" s="6" t="s">
        <f>=G723*H722</f>
      </c>
    </row>
    <row collapsed="false" customFormat="false" customHeight="false" hidden="false" ht="12.1" outlineLevel="0" r="724">
      <c r="A724" s="14" t="n">
        <v>45654.652268519</v>
      </c>
      <c r="B724" s="6" t="n">
        <v>52.66</v>
      </c>
      <c r="C724" s="6" t="n">
        <v>52.66</v>
      </c>
      <c r="D724" s="2" t="s">
        <v>481</v>
      </c>
      <c r="E724" s="2"/>
      <c r="F724" s="2"/>
      <c r="G724" s="6" t="s">
        <f>=A724-A723</f>
      </c>
      <c r="H724" s="6" t="s">
        <f>=B724+H723</f>
      </c>
      <c r="I724" s="6" t="s">
        <f>=G724*H723</f>
      </c>
    </row>
    <row collapsed="false" customFormat="false" customHeight="false" hidden="false" ht="12.1" outlineLevel="0" r="725">
      <c r="A725" s="14" t="n">
        <v>45656.469571759</v>
      </c>
      <c r="B725" s="6" t="n">
        <v>200</v>
      </c>
      <c r="C725" s="6" t="n">
        <v>200</v>
      </c>
      <c r="D725" s="2" t="s">
        <v>556</v>
      </c>
      <c r="E725" s="2"/>
      <c r="F725" s="2"/>
      <c r="G725" s="6" t="s">
        <f>=A725-A724</f>
      </c>
      <c r="H725" s="6" t="s">
        <f>=B725+H724</f>
      </c>
      <c r="I725" s="6" t="s">
        <f>=G725*H724</f>
      </c>
    </row>
    <row collapsed="false" customFormat="false" customHeight="false" hidden="false" ht="12.1" outlineLevel="0" r="726">
      <c r="A726" s="14" t="n">
        <v>45659</v>
      </c>
      <c r="B726" s="6" t="n">
        <v>-6.98</v>
      </c>
      <c r="C726" s="6" t="n">
        <v>-6.98</v>
      </c>
      <c r="D726" s="2" t="s">
        <v>607</v>
      </c>
      <c r="E726" s="2"/>
      <c r="F726" s="2"/>
      <c r="G726" s="6" t="s">
        <f>=A726-A725</f>
      </c>
      <c r="H726" s="6" t="s">
        <f>=B726+H725</f>
      </c>
      <c r="I726" s="6" t="s">
        <f>=G726*H725</f>
      </c>
    </row>
    <row collapsed="false" customFormat="false" customHeight="false" hidden="false" ht="12.1" outlineLevel="0" r="727">
      <c r="A727" s="14" t="n">
        <v>45665</v>
      </c>
      <c r="B727" s="6" t="n">
        <v>-156.51</v>
      </c>
      <c r="C727" s="6" t="n">
        <v>-156.51</v>
      </c>
      <c r="D727" s="2" t="s">
        <v>659</v>
      </c>
      <c r="E727" s="2"/>
      <c r="F727" s="2"/>
      <c r="G727" s="6" t="s">
        <f>=A727-A726</f>
      </c>
      <c r="H727" s="6" t="s">
        <f>=B727+H726</f>
      </c>
      <c r="I727" s="6" t="s">
        <f>=G727*H726</f>
      </c>
    </row>
    <row collapsed="false" customFormat="false" customHeight="false" hidden="false" ht="12.1" outlineLevel="0" r="728">
      <c r="A728" s="14" t="n">
        <v>45666.602303241</v>
      </c>
      <c r="B728" s="6" t="n">
        <v>36.78</v>
      </c>
      <c r="C728" s="6" t="n">
        <v>36.78</v>
      </c>
      <c r="D728" s="2" t="s">
        <v>440</v>
      </c>
      <c r="E728" s="2"/>
      <c r="F728" s="2"/>
      <c r="G728" s="6" t="s">
        <f>=A728-A727</f>
      </c>
      <c r="H728" s="6" t="s">
        <f>=B728+H727</f>
      </c>
      <c r="I728" s="6" t="s">
        <f>=G728*H727</f>
      </c>
    </row>
    <row collapsed="false" customFormat="false" customHeight="false" hidden="false" ht="12.1" outlineLevel="0" r="729">
      <c r="A729" s="14" t="n">
        <v>45667.841736111</v>
      </c>
      <c r="B729" s="6" t="n">
        <v>6.98</v>
      </c>
      <c r="C729" s="6" t="n">
        <v>6.98</v>
      </c>
      <c r="D729" s="2" t="s">
        <v>341</v>
      </c>
      <c r="E729" s="2"/>
      <c r="F729" s="2"/>
      <c r="G729" s="6" t="s">
        <f>=A729-A728</f>
      </c>
      <c r="H729" s="6" t="s">
        <f>=B729+H728</f>
      </c>
      <c r="I729" s="6" t="s">
        <f>=G729*H728</f>
      </c>
    </row>
    <row collapsed="false" customFormat="false" customHeight="false" hidden="false" ht="12.1" outlineLevel="0" r="730">
      <c r="A730" s="14" t="n">
        <v>45670.441712963</v>
      </c>
      <c r="B730" s="6" t="n">
        <v>10600</v>
      </c>
      <c r="C730" s="6" t="n">
        <v>10600</v>
      </c>
      <c r="D730" s="2" t="s">
        <v>336</v>
      </c>
      <c r="E730" s="2"/>
      <c r="F730" s="2"/>
      <c r="G730" s="6" t="s">
        <f>=A730-A729</f>
      </c>
      <c r="H730" s="6" t="s">
        <f>=B730+H729</f>
      </c>
      <c r="I730" s="6" t="s">
        <f>=G730*H729</f>
      </c>
    </row>
    <row collapsed="false" customFormat="false" customHeight="false" hidden="false" ht="12.1" outlineLevel="0" r="731">
      <c r="A731" s="14" t="n">
        <v>45672</v>
      </c>
      <c r="B731" s="6" t="n">
        <v>-26.18</v>
      </c>
      <c r="C731" s="6" t="n">
        <v>-26.18</v>
      </c>
      <c r="D731" s="2" t="s">
        <v>613</v>
      </c>
      <c r="E731" s="2"/>
      <c r="F731" s="2"/>
      <c r="G731" s="6" t="s">
        <f>=A731-A730</f>
      </c>
      <c r="H731" s="6" t="s">
        <f>=B731+H730</f>
      </c>
      <c r="I731" s="6" t="s">
        <f>=G731*H730</f>
      </c>
    </row>
    <row collapsed="false" customFormat="false" customHeight="false" hidden="false" ht="12.1" outlineLevel="0" r="732">
      <c r="A732" s="14" t="n">
        <v>45672</v>
      </c>
      <c r="B732" s="6" t="n">
        <v>-44.88</v>
      </c>
      <c r="C732" s="6" t="n">
        <v>-44.88</v>
      </c>
      <c r="D732" s="2" t="s">
        <v>482</v>
      </c>
      <c r="E732" s="2"/>
      <c r="F732" s="2"/>
      <c r="G732" s="6" t="s">
        <f>=A732-A731</f>
      </c>
      <c r="H732" s="6" t="s">
        <f>=B732+H731</f>
      </c>
      <c r="I732" s="6" t="s">
        <f>=G732*H731</f>
      </c>
    </row>
    <row collapsed="false" customFormat="false" customHeight="false" hidden="false" ht="12.1" outlineLevel="0" r="733">
      <c r="A733" s="14" t="n">
        <v>45672.738252315</v>
      </c>
      <c r="B733" s="6" t="n">
        <v>26.18</v>
      </c>
      <c r="C733" s="6" t="n">
        <v>26.18</v>
      </c>
      <c r="D733" s="2" t="s">
        <v>615</v>
      </c>
      <c r="E733" s="2"/>
      <c r="F733" s="2"/>
      <c r="G733" s="6" t="s">
        <f>=A733-A732</f>
      </c>
      <c r="H733" s="6" t="s">
        <f>=B733+H732</f>
      </c>
      <c r="I733" s="6" t="s">
        <f>=G733*H732</f>
      </c>
    </row>
    <row collapsed="false" customFormat="false" customHeight="false" hidden="false" ht="12.1" outlineLevel="0" r="734">
      <c r="A734" s="14" t="n">
        <v>45674</v>
      </c>
      <c r="B734" s="6" t="n">
        <v>44.88</v>
      </c>
      <c r="C734" s="6" t="n">
        <v>44.88</v>
      </c>
      <c r="D734" s="2" t="s">
        <v>483</v>
      </c>
      <c r="E734" s="2"/>
      <c r="F734" s="2"/>
      <c r="G734" s="6" t="s">
        <f>=A734-A733</f>
      </c>
      <c r="H734" s="6" t="s">
        <f>=B734+H733</f>
      </c>
      <c r="I734" s="6" t="s">
        <f>=G734*H733</f>
      </c>
    </row>
    <row collapsed="false" customFormat="false" customHeight="false" hidden="false" ht="12.1" outlineLevel="0" r="735">
      <c r="A735" s="14" t="n">
        <v>45677</v>
      </c>
      <c r="B735" s="6" t="n">
        <v>-165</v>
      </c>
      <c r="C735" s="6" t="n">
        <v>-165</v>
      </c>
      <c r="D735" s="2" t="s">
        <v>660</v>
      </c>
      <c r="E735" s="2"/>
      <c r="F735" s="2"/>
      <c r="G735" s="6" t="s">
        <f>=A735-A734</f>
      </c>
      <c r="H735" s="6" t="s">
        <f>=B735+H734</f>
      </c>
      <c r="I735" s="6" t="s">
        <f>=G735*H734</f>
      </c>
    </row>
    <row collapsed="false" customFormat="false" customHeight="false" hidden="false" ht="12.1" outlineLevel="0" r="736">
      <c r="A736" s="14" t="n">
        <v>45677</v>
      </c>
      <c r="B736" s="6" t="n">
        <v>-54.35</v>
      </c>
      <c r="C736" s="6" t="n">
        <v>-54.35</v>
      </c>
      <c r="D736" s="2" t="s">
        <v>661</v>
      </c>
      <c r="E736" s="2"/>
      <c r="F736" s="2"/>
      <c r="G736" s="6" t="s">
        <f>=A736-A735</f>
      </c>
      <c r="H736" s="6" t="s">
        <f>=B736+H735</f>
      </c>
      <c r="I736" s="6" t="s">
        <f>=G736*H735</f>
      </c>
    </row>
    <row collapsed="false" customFormat="false" customHeight="false" hidden="false" ht="12.1" outlineLevel="0" r="737">
      <c r="A737" s="14" t="n">
        <v>45677.790868056</v>
      </c>
      <c r="B737" s="6" t="n">
        <v>54.35</v>
      </c>
      <c r="C737" s="6" t="n">
        <v>54.35</v>
      </c>
      <c r="D737" s="2" t="s">
        <v>662</v>
      </c>
      <c r="E737" s="2"/>
      <c r="F737" s="2"/>
      <c r="G737" s="6" t="s">
        <f>=A737-A736</f>
      </c>
      <c r="H737" s="6" t="s">
        <f>=B737+H736</f>
      </c>
      <c r="I737" s="6" t="s">
        <f>=G737*H736</f>
      </c>
    </row>
    <row collapsed="false" customFormat="false" customHeight="false" hidden="false" ht="12.1" outlineLevel="0" r="738">
      <c r="A738" s="14" t="n">
        <v>45678</v>
      </c>
      <c r="B738" s="6" t="n">
        <v>-34.28</v>
      </c>
      <c r="C738" s="6" t="n">
        <v>-34.28</v>
      </c>
      <c r="D738" s="2" t="s">
        <v>485</v>
      </c>
      <c r="E738" s="2"/>
      <c r="F738" s="2"/>
      <c r="G738" s="6" t="s">
        <f>=A738-A737</f>
      </c>
      <c r="H738" s="6" t="s">
        <f>=B738+H737</f>
      </c>
      <c r="I738" s="6" t="s">
        <f>=G738*H737</f>
      </c>
    </row>
    <row collapsed="false" customFormat="false" customHeight="false" hidden="false" ht="12.1" outlineLevel="0" r="739">
      <c r="A739" s="14" t="n">
        <v>45679</v>
      </c>
      <c r="B739" s="6" t="n">
        <v>-55.05</v>
      </c>
      <c r="C739" s="6" t="n">
        <v>-55.05</v>
      </c>
      <c r="D739" s="2" t="s">
        <v>663</v>
      </c>
      <c r="E739" s="2"/>
      <c r="F739" s="2"/>
      <c r="G739" s="6" t="s">
        <f>=A739-A738</f>
      </c>
      <c r="H739" s="6" t="s">
        <f>=B739+H738</f>
      </c>
      <c r="I739" s="6" t="s">
        <f>=G739*H738</f>
      </c>
    </row>
    <row collapsed="false" customFormat="false" customHeight="false" hidden="false" ht="12.1" outlineLevel="0" r="740">
      <c r="A740" s="14" t="n">
        <v>45679</v>
      </c>
      <c r="B740" s="6" t="n">
        <v>-43.38</v>
      </c>
      <c r="C740" s="6" t="n">
        <v>-43.38</v>
      </c>
      <c r="D740" s="2" t="s">
        <v>425</v>
      </c>
      <c r="E740" s="2"/>
      <c r="F740" s="2"/>
      <c r="G740" s="6" t="s">
        <f>=A740-A739</f>
      </c>
      <c r="H740" s="6" t="s">
        <f>=B740+H739</f>
      </c>
      <c r="I740" s="6" t="s">
        <f>=G740*H739</f>
      </c>
    </row>
    <row collapsed="false" customFormat="false" customHeight="false" hidden="false" ht="12.1" outlineLevel="0" r="741">
      <c r="A741" s="14" t="n">
        <v>45679.567824074</v>
      </c>
      <c r="B741" s="6" t="n">
        <v>165</v>
      </c>
      <c r="C741" s="6" t="n">
        <v>165</v>
      </c>
      <c r="D741" s="2" t="s">
        <v>664</v>
      </c>
      <c r="E741" s="2"/>
      <c r="F741" s="2"/>
      <c r="G741" s="6" t="s">
        <f>=A741-A740</f>
      </c>
      <c r="H741" s="6" t="s">
        <f>=B741+H740</f>
      </c>
      <c r="I741" s="6" t="s">
        <f>=G741*H740</f>
      </c>
    </row>
    <row collapsed="false" customFormat="false" customHeight="false" hidden="false" ht="12.1" outlineLevel="0" r="742">
      <c r="A742" s="14" t="n">
        <v>45679.581539352</v>
      </c>
      <c r="B742" s="6" t="n">
        <v>34.28</v>
      </c>
      <c r="C742" s="6" t="n">
        <v>34.28</v>
      </c>
      <c r="D742" s="2" t="s">
        <v>488</v>
      </c>
      <c r="E742" s="2"/>
      <c r="F742" s="2"/>
      <c r="G742" s="6" t="s">
        <f>=A742-A741</f>
      </c>
      <c r="H742" s="6" t="s">
        <f>=B742+H741</f>
      </c>
      <c r="I742" s="6" t="s">
        <f>=G742*H741</f>
      </c>
    </row>
    <row collapsed="false" customFormat="false" customHeight="false" hidden="false" ht="12.1" outlineLevel="0" r="743">
      <c r="A743" s="14" t="n">
        <v>45680</v>
      </c>
      <c r="B743" s="6" t="n">
        <v>-11.18</v>
      </c>
      <c r="C743" s="6" t="n">
        <v>-11.18</v>
      </c>
      <c r="D743" s="2" t="s">
        <v>598</v>
      </c>
      <c r="E743" s="2"/>
      <c r="F743" s="2"/>
      <c r="G743" s="6" t="s">
        <f>=A743-A742</f>
      </c>
      <c r="H743" s="6" t="s">
        <f>=B743+H742</f>
      </c>
      <c r="I743" s="6" t="s">
        <f>=G743*H742</f>
      </c>
    </row>
    <row collapsed="false" customFormat="false" customHeight="false" hidden="false" ht="12.1" outlineLevel="0" r="744">
      <c r="A744" s="14" t="n">
        <v>45680.485185185</v>
      </c>
      <c r="B744" s="6" t="n">
        <v>43.38</v>
      </c>
      <c r="C744" s="6" t="n">
        <v>43.38</v>
      </c>
      <c r="D744" s="2" t="s">
        <v>428</v>
      </c>
      <c r="E744" s="2"/>
      <c r="F744" s="2"/>
      <c r="G744" s="6" t="s">
        <f>=A744-A743</f>
      </c>
      <c r="H744" s="6" t="s">
        <f>=B744+H743</f>
      </c>
      <c r="I744" s="6" t="s">
        <f>=G744*H743</f>
      </c>
    </row>
    <row collapsed="false" customFormat="false" customHeight="false" hidden="false" ht="12.1" outlineLevel="0" r="745">
      <c r="A745" s="14" t="n">
        <v>45680.691851852</v>
      </c>
      <c r="B745" s="6" t="n">
        <v>55.05</v>
      </c>
      <c r="C745" s="6" t="n">
        <v>55.05</v>
      </c>
      <c r="D745" s="2" t="s">
        <v>459</v>
      </c>
      <c r="E745" s="2"/>
      <c r="F745" s="2"/>
      <c r="G745" s="6" t="s">
        <f>=A745-A744</f>
      </c>
      <c r="H745" s="6" t="s">
        <f>=B745+H744</f>
      </c>
      <c r="I745" s="6" t="s">
        <f>=G745*H744</f>
      </c>
    </row>
    <row collapsed="false" customFormat="false" customHeight="false" hidden="false" ht="12.1" outlineLevel="0" r="746">
      <c r="A746" s="14" t="n">
        <v>45680.762280093</v>
      </c>
      <c r="B746" s="6" t="n">
        <v>156.51</v>
      </c>
      <c r="C746" s="6" t="n">
        <v>156.51</v>
      </c>
      <c r="D746" s="2" t="s">
        <v>665</v>
      </c>
      <c r="E746" s="2"/>
      <c r="F746" s="2"/>
      <c r="G746" s="6" t="s">
        <f>=A746-A745</f>
      </c>
      <c r="H746" s="6" t="s">
        <f>=B746+H745</f>
      </c>
      <c r="I746" s="6" t="s">
        <f>=G746*H745</f>
      </c>
    </row>
    <row collapsed="false" customFormat="false" customHeight="false" hidden="false" ht="12.1" outlineLevel="0" r="747">
      <c r="A747" s="14" t="n">
        <v>45681.534733796</v>
      </c>
      <c r="B747" s="6" t="n">
        <v>11.18</v>
      </c>
      <c r="C747" s="6" t="n">
        <v>11.18</v>
      </c>
      <c r="D747" s="2" t="s">
        <v>602</v>
      </c>
      <c r="E747" s="2"/>
      <c r="F747" s="2"/>
      <c r="G747" s="6" t="s">
        <f>=A747-A746</f>
      </c>
      <c r="H747" s="6" t="s">
        <f>=B747+H746</f>
      </c>
      <c r="I747" s="6" t="s">
        <f>=G747*H746</f>
      </c>
    </row>
    <row collapsed="false" customFormat="false" customHeight="false" hidden="false" ht="12.1" outlineLevel="0" r="748">
      <c r="A748" s="14" t="n">
        <v>45682</v>
      </c>
      <c r="B748" s="6" t="n">
        <v>-18.98</v>
      </c>
      <c r="C748" s="6" t="n">
        <v>-18.98</v>
      </c>
      <c r="D748" s="2" t="s">
        <v>666</v>
      </c>
      <c r="E748" s="2"/>
      <c r="F748" s="2"/>
      <c r="G748" s="6" t="s">
        <f>=A748-A747</f>
      </c>
      <c r="H748" s="6" t="s">
        <f>=B748+H747</f>
      </c>
      <c r="I748" s="6" t="s">
        <f>=G748*H747</f>
      </c>
    </row>
    <row collapsed="false" customFormat="false" customHeight="false" hidden="false" ht="12.1" outlineLevel="0" r="749">
      <c r="A749" s="14" t="n">
        <v>45682</v>
      </c>
      <c r="B749" s="6" t="n">
        <v>-36.32</v>
      </c>
      <c r="C749" s="6" t="n">
        <v>-36.32</v>
      </c>
      <c r="D749" s="2" t="s">
        <v>655</v>
      </c>
      <c r="E749" s="2"/>
      <c r="F749" s="2"/>
      <c r="G749" s="6" t="s">
        <f>=A749-A748</f>
      </c>
      <c r="H749" s="6" t="s">
        <f>=B749+H748</f>
      </c>
      <c r="I749" s="6" t="s">
        <f>=G749*H748</f>
      </c>
    </row>
    <row collapsed="false" customFormat="false" customHeight="false" hidden="false" ht="12.1" outlineLevel="0" r="750">
      <c r="A750" s="14" t="n">
        <v>45685</v>
      </c>
      <c r="B750" s="6" t="n">
        <v>-38.4</v>
      </c>
      <c r="C750" s="6" t="n">
        <v>-38.4</v>
      </c>
      <c r="D750" s="2" t="s">
        <v>667</v>
      </c>
      <c r="E750" s="2"/>
      <c r="F750" s="2"/>
      <c r="G750" s="6" t="s">
        <f>=A750-A749</f>
      </c>
      <c r="H750" s="6" t="s">
        <f>=B750+H749</f>
      </c>
      <c r="I750" s="6" t="s">
        <f>=G750*H749</f>
      </c>
    </row>
    <row collapsed="false" customFormat="false" customHeight="false" hidden="false" ht="12.1" outlineLevel="0" r="751">
      <c r="A751" s="14" t="n">
        <v>45685</v>
      </c>
      <c r="B751" s="6" t="n">
        <v>-58.34</v>
      </c>
      <c r="C751" s="6" t="n">
        <v>-58.34</v>
      </c>
      <c r="D751" s="2" t="s">
        <v>621</v>
      </c>
      <c r="E751" s="2"/>
      <c r="F751" s="2"/>
      <c r="G751" s="6" t="s">
        <f>=A751-A750</f>
      </c>
      <c r="H751" s="6" t="s">
        <f>=B751+H750</f>
      </c>
      <c r="I751" s="6" t="s">
        <f>=G751*H750</f>
      </c>
    </row>
    <row collapsed="false" customFormat="false" customHeight="false" hidden="false" ht="12.1" outlineLevel="0" r="752">
      <c r="A752" s="14" t="n">
        <v>45685</v>
      </c>
      <c r="B752" s="6" t="n">
        <v>-28.22</v>
      </c>
      <c r="C752" s="6" t="n">
        <v>-28.22</v>
      </c>
      <c r="D752" s="2" t="s">
        <v>373</v>
      </c>
      <c r="E752" s="2"/>
      <c r="F752" s="2"/>
      <c r="G752" s="6" t="s">
        <f>=A752-A751</f>
      </c>
      <c r="H752" s="6" t="s">
        <f>=B752+H751</f>
      </c>
      <c r="I752" s="6" t="s">
        <f>=G752*H751</f>
      </c>
    </row>
    <row collapsed="false" customFormat="false" customHeight="false" hidden="false" ht="12.1" outlineLevel="0" r="753">
      <c r="A753" s="14" t="n">
        <v>45685</v>
      </c>
      <c r="B753" s="6" t="n">
        <v>-1000</v>
      </c>
      <c r="C753" s="6" t="n">
        <v>-1000</v>
      </c>
      <c r="D753" s="2" t="s">
        <v>668</v>
      </c>
      <c r="E753" s="2"/>
      <c r="F753" s="2"/>
      <c r="G753" s="6" t="s">
        <f>=A753-A752</f>
      </c>
      <c r="H753" s="6" t="s">
        <f>=B753+H752</f>
      </c>
      <c r="I753" s="6" t="s">
        <f>=G753*H752</f>
      </c>
    </row>
    <row collapsed="false" customFormat="false" customHeight="false" hidden="false" ht="12.1" outlineLevel="0" r="754">
      <c r="A754" s="14" t="n">
        <v>45685.664814815</v>
      </c>
      <c r="B754" s="6" t="n">
        <v>18.98</v>
      </c>
      <c r="C754" s="6" t="n">
        <v>18.98</v>
      </c>
      <c r="D754" s="2" t="s">
        <v>506</v>
      </c>
      <c r="E754" s="2"/>
      <c r="F754" s="2"/>
      <c r="G754" s="6" t="s">
        <f>=A754-A753</f>
      </c>
      <c r="H754" s="6" t="s">
        <f>=B754+H753</f>
      </c>
      <c r="I754" s="6" t="s">
        <f>=G754*H753</f>
      </c>
    </row>
    <row collapsed="false" customFormat="false" customHeight="false" hidden="false" ht="12.1" outlineLevel="0" r="755">
      <c r="A755" s="14" t="n">
        <v>45685.672835648</v>
      </c>
      <c r="B755" s="6" t="n">
        <v>36.32</v>
      </c>
      <c r="C755" s="6" t="n">
        <v>36.32</v>
      </c>
      <c r="D755" s="2" t="s">
        <v>576</v>
      </c>
      <c r="E755" s="2"/>
      <c r="F755" s="2"/>
      <c r="G755" s="6" t="s">
        <f>=A755-A754</f>
      </c>
      <c r="H755" s="6" t="s">
        <f>=B755+H754</f>
      </c>
      <c r="I755" s="6" t="s">
        <f>=G755*H754</f>
      </c>
    </row>
    <row collapsed="false" customFormat="false" customHeight="false" hidden="false" ht="12.1" outlineLevel="0" r="756">
      <c r="A756" s="14" t="n">
        <v>45686</v>
      </c>
      <c r="B756" s="6" t="n">
        <v>-84.72</v>
      </c>
      <c r="C756" s="6" t="n">
        <v>-84.72</v>
      </c>
      <c r="D756" s="2" t="s">
        <v>669</v>
      </c>
      <c r="E756" s="2"/>
      <c r="F756" s="2"/>
      <c r="G756" s="6" t="s">
        <f>=A756-A755</f>
      </c>
      <c r="H756" s="6" t="s">
        <f>=B756+H755</f>
      </c>
      <c r="I756" s="6" t="s">
        <f>=G756*H755</f>
      </c>
    </row>
    <row collapsed="false" customFormat="false" customHeight="false" hidden="false" ht="12.1" outlineLevel="0" r="757">
      <c r="A757" s="14" t="n">
        <v>45686</v>
      </c>
      <c r="B757" s="6" t="n">
        <v>-51.52</v>
      </c>
      <c r="C757" s="6" t="n">
        <v>-51.52</v>
      </c>
      <c r="D757" s="2" t="s">
        <v>670</v>
      </c>
      <c r="E757" s="2"/>
      <c r="F757" s="2"/>
      <c r="G757" s="6" t="s">
        <f>=A757-A756</f>
      </c>
      <c r="H757" s="6" t="s">
        <f>=B757+H756</f>
      </c>
      <c r="I757" s="6" t="s">
        <f>=G757*H756</f>
      </c>
    </row>
    <row collapsed="false" customFormat="false" customHeight="false" hidden="false" ht="12.1" outlineLevel="0" r="758">
      <c r="A758" s="14" t="n">
        <v>45686</v>
      </c>
      <c r="B758" s="6" t="n">
        <v>-912.6</v>
      </c>
      <c r="C758" s="6" t="n">
        <v>-912.6</v>
      </c>
      <c r="D758" s="2" t="s">
        <v>578</v>
      </c>
      <c r="E758" s="2"/>
      <c r="F758" s="2"/>
      <c r="G758" s="6" t="s">
        <f>=A758-A757</f>
      </c>
      <c r="H758" s="6" t="s">
        <f>=B758+H757</f>
      </c>
      <c r="I758" s="6" t="s">
        <f>=G758*H757</f>
      </c>
    </row>
    <row collapsed="false" customFormat="false" customHeight="false" hidden="false" ht="12.1" outlineLevel="0" r="759">
      <c r="A759" s="14" t="n">
        <v>45686</v>
      </c>
      <c r="B759" s="6" t="n">
        <v>-137.64</v>
      </c>
      <c r="C759" s="6" t="n">
        <v>-137.64</v>
      </c>
      <c r="D759" s="2" t="s">
        <v>671</v>
      </c>
      <c r="E759" s="2"/>
      <c r="F759" s="2"/>
      <c r="G759" s="6" t="s">
        <f>=A759-A758</f>
      </c>
      <c r="H759" s="6" t="s">
        <f>=B759+H758</f>
      </c>
      <c r="I759" s="6" t="s">
        <f>=G759*H758</f>
      </c>
    </row>
    <row collapsed="false" customFormat="false" customHeight="false" hidden="false" ht="12.1" outlineLevel="0" r="760">
      <c r="A760" s="14" t="n">
        <v>45686.567013889</v>
      </c>
      <c r="B760" s="6" t="n">
        <v>38.4</v>
      </c>
      <c r="C760" s="6" t="n">
        <v>38.4</v>
      </c>
      <c r="D760" s="2" t="s">
        <v>440</v>
      </c>
      <c r="E760" s="2"/>
      <c r="F760" s="2"/>
      <c r="G760" s="6" t="s">
        <f>=A760-A759</f>
      </c>
      <c r="H760" s="6" t="s">
        <f>=B760+H759</f>
      </c>
      <c r="I760" s="6" t="s">
        <f>=G760*H759</f>
      </c>
    </row>
    <row collapsed="false" customFormat="false" customHeight="false" hidden="false" ht="12.1" outlineLevel="0" r="761">
      <c r="A761" s="14" t="n">
        <v>45686.601666667</v>
      </c>
      <c r="B761" s="6" t="n">
        <v>58.34</v>
      </c>
      <c r="C761" s="6" t="n">
        <v>58.34</v>
      </c>
      <c r="D761" s="2" t="s">
        <v>581</v>
      </c>
      <c r="E761" s="2"/>
      <c r="F761" s="2"/>
      <c r="G761" s="6" t="s">
        <f>=A761-A760</f>
      </c>
      <c r="H761" s="6" t="s">
        <f>=B761+H760</f>
      </c>
      <c r="I761" s="6" t="s">
        <f>=G761*H760</f>
      </c>
    </row>
    <row collapsed="false" customFormat="false" customHeight="false" hidden="false" ht="12.1" outlineLevel="0" r="762">
      <c r="A762" s="14" t="n">
        <v>45686.633912037</v>
      </c>
      <c r="B762" s="6" t="n">
        <v>28.22</v>
      </c>
      <c r="C762" s="6" t="n">
        <v>28.22</v>
      </c>
      <c r="D762" s="2" t="s">
        <v>376</v>
      </c>
      <c r="E762" s="2"/>
      <c r="F762" s="2"/>
      <c r="G762" s="6" t="s">
        <f>=A762-A761</f>
      </c>
      <c r="H762" s="6" t="s">
        <f>=B762+H761</f>
      </c>
      <c r="I762" s="6" t="s">
        <f>=G762*H761</f>
      </c>
    </row>
    <row collapsed="false" customFormat="false" customHeight="false" hidden="false" ht="12.1" outlineLevel="0" r="763">
      <c r="A763" s="14" t="n">
        <v>45686.880185185</v>
      </c>
      <c r="B763" s="6" t="n">
        <v>84.72</v>
      </c>
      <c r="C763" s="6" t="n">
        <v>84.72</v>
      </c>
      <c r="D763" s="2" t="s">
        <v>377</v>
      </c>
      <c r="E763" s="2"/>
      <c r="F763" s="2"/>
      <c r="G763" s="6" t="s">
        <f>=A763-A762</f>
      </c>
      <c r="H763" s="6" t="s">
        <f>=B763+H762</f>
      </c>
      <c r="I763" s="6" t="s">
        <f>=G763*H762</f>
      </c>
    </row>
    <row collapsed="false" customFormat="false" customHeight="false" hidden="false" ht="12.1" outlineLevel="0" r="764">
      <c r="A764" s="14" t="n">
        <v>45686.890578704</v>
      </c>
      <c r="B764" s="6" t="n">
        <v>1000</v>
      </c>
      <c r="C764" s="6" t="n">
        <v>1000</v>
      </c>
      <c r="D764" s="2" t="s">
        <v>672</v>
      </c>
      <c r="E764" s="2"/>
      <c r="F764" s="2"/>
      <c r="G764" s="6" t="s">
        <f>=A764-A763</f>
      </c>
      <c r="H764" s="6" t="s">
        <f>=B764+H763</f>
      </c>
      <c r="I764" s="6" t="s">
        <f>=G764*H763</f>
      </c>
    </row>
    <row collapsed="false" customFormat="false" customHeight="false" hidden="false" ht="12.1" outlineLevel="0" r="765">
      <c r="A765" s="14" t="n">
        <v>45687.637233796</v>
      </c>
      <c r="B765" s="6" t="n">
        <v>912.6</v>
      </c>
      <c r="C765" s="6" t="n">
        <v>912.6</v>
      </c>
      <c r="D765" s="2" t="s">
        <v>346</v>
      </c>
      <c r="E765" s="2"/>
      <c r="F765" s="2"/>
      <c r="G765" s="6" t="s">
        <f>=A765-A764</f>
      </c>
      <c r="H765" s="6" t="s">
        <f>=B765+H764</f>
      </c>
      <c r="I765" s="6" t="s">
        <f>=G765*H764</f>
      </c>
    </row>
    <row collapsed="false" customFormat="false" customHeight="false" hidden="false" ht="12.1" outlineLevel="0" r="766">
      <c r="A766" s="14" t="n">
        <v>45687.645590278</v>
      </c>
      <c r="B766" s="6" t="n">
        <v>137.64</v>
      </c>
      <c r="C766" s="6" t="n">
        <v>137.64</v>
      </c>
      <c r="D766" s="2" t="s">
        <v>582</v>
      </c>
      <c r="E766" s="2"/>
      <c r="F766" s="2"/>
      <c r="G766" s="6" t="s">
        <f>=A766-A765</f>
      </c>
      <c r="H766" s="6" t="s">
        <f>=B766+H765</f>
      </c>
      <c r="I766" s="6" t="s">
        <f>=G766*H765</f>
      </c>
    </row>
    <row collapsed="false" customFormat="false" customHeight="false" hidden="false" ht="12.1" outlineLevel="0" r="767">
      <c r="A767" s="14" t="n">
        <v>45687.658078704</v>
      </c>
      <c r="B767" s="6" t="n">
        <v>51.52</v>
      </c>
      <c r="C767" s="6" t="n">
        <v>51.52</v>
      </c>
      <c r="D767" s="2" t="s">
        <v>461</v>
      </c>
      <c r="E767" s="2"/>
      <c r="F767" s="2"/>
      <c r="G767" s="6" t="s">
        <f>=A767-A766</f>
      </c>
      <c r="H767" s="6" t="s">
        <f>=B767+H766</f>
      </c>
      <c r="I767" s="6" t="s">
        <f>=G767*H766</f>
      </c>
    </row>
    <row collapsed="false" customFormat="false" customHeight="false" hidden="false" ht="12.1" outlineLevel="0" r="768">
      <c r="A768" s="14" t="n">
        <v>45688</v>
      </c>
      <c r="B768" s="6" t="n">
        <v>-23.86</v>
      </c>
      <c r="C768" s="6" t="n">
        <v>-23.86</v>
      </c>
      <c r="D768" s="2" t="s">
        <v>623</v>
      </c>
      <c r="E768" s="2"/>
      <c r="F768" s="2"/>
      <c r="G768" s="6" t="s">
        <f>=A768-A767</f>
      </c>
      <c r="H768" s="6" t="s">
        <f>=B768+H767</f>
      </c>
      <c r="I768" s="6" t="s">
        <f>=G768*H767</f>
      </c>
    </row>
    <row collapsed="false" customFormat="false" customHeight="false" hidden="false" ht="12.1" outlineLevel="0" r="769">
      <c r="A769" s="14" t="n">
        <v>45688</v>
      </c>
      <c r="B769" s="6" t="n">
        <v>-179.52</v>
      </c>
      <c r="C769" s="6" t="n">
        <v>-179.52</v>
      </c>
      <c r="D769" s="2" t="s">
        <v>673</v>
      </c>
      <c r="E769" s="2"/>
      <c r="F769" s="2"/>
      <c r="G769" s="6" t="s">
        <f>=A769-A768</f>
      </c>
      <c r="H769" s="6" t="s">
        <f>=B769+H768</f>
      </c>
      <c r="I769" s="6" t="s">
        <f>=G769*H768</f>
      </c>
    </row>
    <row collapsed="false" customFormat="false" customHeight="false" hidden="false" ht="12.1" outlineLevel="0" r="770">
      <c r="A770" s="14" t="n">
        <v>45689</v>
      </c>
      <c r="B770" s="6" t="n">
        <v>-53.1</v>
      </c>
      <c r="C770" s="6" t="n">
        <v>-53.1</v>
      </c>
      <c r="D770" s="2" t="s">
        <v>434</v>
      </c>
      <c r="E770" s="2"/>
      <c r="F770" s="2"/>
      <c r="G770" s="6" t="s">
        <f>=A770-A769</f>
      </c>
      <c r="H770" s="6" t="s">
        <f>=B770+H769</f>
      </c>
      <c r="I770" s="6" t="s">
        <f>=G770*H769</f>
      </c>
    </row>
    <row collapsed="false" customFormat="false" customHeight="false" hidden="false" ht="12.1" outlineLevel="0" r="771">
      <c r="A771" s="14" t="n">
        <v>45691.474548611</v>
      </c>
      <c r="B771" s="6" t="n">
        <v>179.52</v>
      </c>
      <c r="C771" s="6" t="n">
        <v>179.52</v>
      </c>
      <c r="D771" s="2" t="s">
        <v>674</v>
      </c>
      <c r="E771" s="2"/>
      <c r="F771" s="2"/>
      <c r="G771" s="6" t="s">
        <f>=A771-A770</f>
      </c>
      <c r="H771" s="6" t="s">
        <f>=B771+H770</f>
      </c>
      <c r="I771" s="6" t="s">
        <f>=G771*H770</f>
      </c>
    </row>
    <row collapsed="false" customFormat="false" customHeight="false" hidden="false" ht="12.1" outlineLevel="0" r="772">
      <c r="A772" s="14" t="n">
        <v>45691.51619213</v>
      </c>
      <c r="B772" s="6" t="n">
        <v>23.86</v>
      </c>
      <c r="C772" s="6" t="n">
        <v>23.86</v>
      </c>
      <c r="D772" s="2" t="s">
        <v>624</v>
      </c>
      <c r="E772" s="2"/>
      <c r="F772" s="2"/>
      <c r="G772" s="6" t="s">
        <f>=A772-A771</f>
      </c>
      <c r="H772" s="6" t="s">
        <f>=B772+H771</f>
      </c>
      <c r="I772" s="6" t="s">
        <f>=G772*H771</f>
      </c>
    </row>
    <row collapsed="false" customFormat="false" customHeight="false" hidden="false" ht="12.1" outlineLevel="0" r="773">
      <c r="A773" s="14" t="n">
        <v>45692.530613426</v>
      </c>
      <c r="B773" s="6" t="n">
        <v>53.1</v>
      </c>
      <c r="C773" s="6" t="n">
        <v>53.1</v>
      </c>
      <c r="D773" s="2" t="s">
        <v>379</v>
      </c>
      <c r="E773" s="2"/>
      <c r="F773" s="2"/>
      <c r="G773" s="6" t="s">
        <f>=A773-A772</f>
      </c>
      <c r="H773" s="6" t="s">
        <f>=B773+H772</f>
      </c>
      <c r="I773" s="6" t="s">
        <f>=G773*H772</f>
      </c>
    </row>
    <row collapsed="false" customFormat="false" customHeight="false" hidden="false" ht="12.1" outlineLevel="0" r="774">
      <c r="A774" s="14" t="n">
        <v>45693</v>
      </c>
      <c r="B774" s="6" t="n">
        <v>-39.16</v>
      </c>
      <c r="C774" s="6" t="n">
        <v>-39.16</v>
      </c>
      <c r="D774" s="2" t="s">
        <v>675</v>
      </c>
      <c r="E774" s="2"/>
      <c r="F774" s="2"/>
      <c r="G774" s="6" t="s">
        <f>=A774-A773</f>
      </c>
      <c r="H774" s="6" t="s">
        <f>=B774+H773</f>
      </c>
      <c r="I774" s="6" t="s">
        <f>=G774*H773</f>
      </c>
    </row>
    <row collapsed="false" customFormat="false" customHeight="false" hidden="false" ht="12.1" outlineLevel="0" r="775">
      <c r="A775" s="14" t="n">
        <v>45694.514039352</v>
      </c>
      <c r="B775" s="6" t="n">
        <v>39.16</v>
      </c>
      <c r="C775" s="6" t="n">
        <v>39.16</v>
      </c>
      <c r="D775" s="2" t="s">
        <v>584</v>
      </c>
      <c r="E775" s="2"/>
      <c r="F775" s="2"/>
      <c r="G775" s="6" t="s">
        <f>=A775-A774</f>
      </c>
      <c r="H775" s="6" t="s">
        <f>=B775+H774</f>
      </c>
      <c r="I775" s="6" t="s">
        <f>=G775*H774</f>
      </c>
    </row>
    <row collapsed="false" customFormat="false" customHeight="false" hidden="false" ht="12.1" outlineLevel="0" r="776">
      <c r="A776" s="14" t="n">
        <v>45700</v>
      </c>
      <c r="B776" s="6" t="n">
        <v>-628.2</v>
      </c>
      <c r="C776" s="6" t="n">
        <v>-628.2</v>
      </c>
      <c r="D776" s="2" t="s">
        <v>585</v>
      </c>
      <c r="E776" s="2"/>
      <c r="F776" s="2"/>
      <c r="G776" s="6" t="s">
        <f>=A776-A775</f>
      </c>
      <c r="H776" s="6" t="s">
        <f>=B776+H775</f>
      </c>
      <c r="I776" s="6" t="s">
        <f>=G776*H775</f>
      </c>
    </row>
    <row collapsed="false" customFormat="false" customHeight="false" hidden="false" ht="12.1" outlineLevel="0" r="777">
      <c r="A777" s="14" t="n">
        <v>45700</v>
      </c>
      <c r="B777" s="6" t="n">
        <v>-4.67</v>
      </c>
      <c r="C777" s="6" t="n">
        <v>-4.67</v>
      </c>
      <c r="D777" s="2" t="s">
        <v>527</v>
      </c>
      <c r="E777" s="2"/>
      <c r="F777" s="2"/>
      <c r="G777" s="6" t="s">
        <f>=A777-A776</f>
      </c>
      <c r="H777" s="6" t="s">
        <f>=B777+H776</f>
      </c>
      <c r="I777" s="6" t="s">
        <f>=G777*H776</f>
      </c>
    </row>
    <row collapsed="false" customFormat="false" customHeight="false" hidden="false" ht="12.1" outlineLevel="0" r="778">
      <c r="A778" s="14" t="n">
        <v>45700.732604167</v>
      </c>
      <c r="B778" s="6" t="n">
        <v>4.67</v>
      </c>
      <c r="C778" s="6" t="n">
        <v>4.67</v>
      </c>
      <c r="D778" s="2" t="s">
        <v>529</v>
      </c>
      <c r="E778" s="2"/>
      <c r="F778" s="2"/>
      <c r="G778" s="6" t="s">
        <f>=A778-A777</f>
      </c>
      <c r="H778" s="6" t="s">
        <f>=B778+H777</f>
      </c>
      <c r="I778" s="6" t="s">
        <f>=G778*H777</f>
      </c>
    </row>
    <row collapsed="false" customFormat="false" customHeight="false" hidden="false" ht="12.1" outlineLevel="0" r="779">
      <c r="A779" s="14" t="n">
        <v>45701.437581019</v>
      </c>
      <c r="B779" s="6" t="n">
        <v>628.2</v>
      </c>
      <c r="C779" s="6" t="n">
        <v>628.2</v>
      </c>
      <c r="D779" s="2" t="s">
        <v>381</v>
      </c>
      <c r="E779" s="2"/>
      <c r="F779" s="2"/>
      <c r="G779" s="6" t="s">
        <f>=A779-A778</f>
      </c>
      <c r="H779" s="6" t="s">
        <f>=B779+H778</f>
      </c>
      <c r="I779" s="6" t="s">
        <f>=G779*H778</f>
      </c>
    </row>
    <row collapsed="false" customFormat="false" customHeight="false" hidden="false" ht="12.1" outlineLevel="0" r="780">
      <c r="A780" s="14" t="n">
        <v>45702</v>
      </c>
      <c r="B780" s="6" t="n">
        <v>-51.61</v>
      </c>
      <c r="C780" s="6" t="n">
        <v>-51.61</v>
      </c>
      <c r="D780" s="2" t="s">
        <v>436</v>
      </c>
      <c r="E780" s="2"/>
      <c r="F780" s="2"/>
      <c r="G780" s="6" t="s">
        <f>=A780-A779</f>
      </c>
      <c r="H780" s="6" t="s">
        <f>=B780+H779</f>
      </c>
      <c r="I780" s="6" t="s">
        <f>=G780*H779</f>
      </c>
    </row>
    <row collapsed="false" customFormat="false" customHeight="false" hidden="false" ht="12.1" outlineLevel="0" r="781">
      <c r="A781" s="14" t="n">
        <v>45702</v>
      </c>
      <c r="B781" s="6" t="n">
        <v>-155.58</v>
      </c>
      <c r="C781" s="6" t="n">
        <v>-155.58</v>
      </c>
      <c r="D781" s="2" t="s">
        <v>676</v>
      </c>
      <c r="E781" s="2"/>
      <c r="F781" s="2"/>
      <c r="G781" s="6" t="s">
        <f>=A781-A780</f>
      </c>
      <c r="H781" s="6" t="s">
        <f>=B781+H780</f>
      </c>
      <c r="I781" s="6" t="s">
        <f>=G781*H780</f>
      </c>
    </row>
    <row collapsed="false" customFormat="false" customHeight="false" hidden="false" ht="12.1" outlineLevel="0" r="782">
      <c r="A782" s="14" t="n">
        <v>45702.447835648</v>
      </c>
      <c r="B782" s="6" t="n">
        <v>11200</v>
      </c>
      <c r="C782" s="6" t="n">
        <v>11200</v>
      </c>
      <c r="D782" s="2" t="s">
        <v>336</v>
      </c>
      <c r="E782" s="2"/>
      <c r="F782" s="2"/>
      <c r="G782" s="6" t="s">
        <f>=A782-A781</f>
      </c>
      <c r="H782" s="6" t="s">
        <f>=B782+H781</f>
      </c>
      <c r="I782" s="6" t="s">
        <f>=G782*H781</f>
      </c>
    </row>
    <row collapsed="false" customFormat="false" customHeight="false" hidden="false" ht="12.1" outlineLevel="0" r="783">
      <c r="A783" s="14" t="n">
        <v>45704</v>
      </c>
      <c r="B783" s="6" t="n">
        <v>-400</v>
      </c>
      <c r="C783" s="6" t="n">
        <v>-400</v>
      </c>
      <c r="D783" s="2" t="s">
        <v>586</v>
      </c>
      <c r="E783" s="2"/>
      <c r="F783" s="2"/>
      <c r="G783" s="6" t="s">
        <f>=A783-A782</f>
      </c>
      <c r="H783" s="6" t="s">
        <f>=B783+H782</f>
      </c>
      <c r="I783" s="6" t="s">
        <f>=G783*H782</f>
      </c>
    </row>
    <row collapsed="false" customFormat="false" customHeight="false" hidden="false" ht="12.1" outlineLevel="0" r="784">
      <c r="A784" s="14" t="n">
        <v>45705</v>
      </c>
      <c r="B784" s="6" t="n">
        <v>-25.92</v>
      </c>
      <c r="C784" s="6" t="n">
        <v>-25.92</v>
      </c>
      <c r="D784" s="2" t="s">
        <v>677</v>
      </c>
      <c r="E784" s="2"/>
      <c r="F784" s="2"/>
      <c r="G784" s="6" t="s">
        <f>=A784-A783</f>
      </c>
      <c r="H784" s="6" t="s">
        <f>=B784+H783</f>
      </c>
      <c r="I784" s="6" t="s">
        <f>=G784*H783</f>
      </c>
    </row>
    <row collapsed="false" customFormat="false" customHeight="false" hidden="false" ht="12.1" outlineLevel="0" r="785">
      <c r="A785" s="14" t="n">
        <v>45705.510520833</v>
      </c>
      <c r="B785" s="6" t="n">
        <v>51.61</v>
      </c>
      <c r="C785" s="6" t="n">
        <v>51.61</v>
      </c>
      <c r="D785" s="2" t="s">
        <v>439</v>
      </c>
      <c r="E785" s="2"/>
      <c r="F785" s="2"/>
      <c r="G785" s="6" t="s">
        <f>=A785-A784</f>
      </c>
      <c r="H785" s="6" t="s">
        <f>=B785+H784</f>
      </c>
      <c r="I785" s="6" t="s">
        <f>=G785*H784</f>
      </c>
    </row>
    <row collapsed="false" customFormat="false" customHeight="false" hidden="false" ht="12.1" outlineLevel="0" r="786">
      <c r="A786" s="14" t="n">
        <v>45705.514791667</v>
      </c>
      <c r="B786" s="6" t="n">
        <v>155.58</v>
      </c>
      <c r="C786" s="6" t="n">
        <v>155.58</v>
      </c>
      <c r="D786" s="2" t="s">
        <v>678</v>
      </c>
      <c r="E786" s="2"/>
      <c r="F786" s="2"/>
      <c r="G786" s="6" t="s">
        <f>=A786-A785</f>
      </c>
      <c r="H786" s="6" t="s">
        <f>=B786+H785</f>
      </c>
      <c r="I786" s="6" t="s">
        <f>=G786*H785</f>
      </c>
    </row>
    <row collapsed="false" customFormat="false" customHeight="false" hidden="false" ht="12.1" outlineLevel="0" r="787">
      <c r="A787" s="14" t="n">
        <v>45706.43306713</v>
      </c>
      <c r="B787" s="6" t="n">
        <v>400</v>
      </c>
      <c r="C787" s="6" t="n">
        <v>400</v>
      </c>
      <c r="D787" s="2" t="s">
        <v>531</v>
      </c>
      <c r="E787" s="2"/>
      <c r="F787" s="2"/>
      <c r="G787" s="6" t="s">
        <f>=A787-A786</f>
      </c>
      <c r="H787" s="6" t="s">
        <f>=B787+H786</f>
      </c>
      <c r="I787" s="6" t="s">
        <f>=G787*H786</f>
      </c>
    </row>
    <row collapsed="false" customFormat="false" customHeight="false" hidden="false" ht="12.1" outlineLevel="0" r="788">
      <c r="A788" s="14" t="n">
        <v>45706.433773148</v>
      </c>
      <c r="B788" s="6" t="n">
        <v>25.92</v>
      </c>
      <c r="C788" s="6" t="n">
        <v>25.92</v>
      </c>
      <c r="D788" s="2" t="s">
        <v>403</v>
      </c>
      <c r="E788" s="2"/>
      <c r="F788" s="2"/>
      <c r="G788" s="6" t="s">
        <f>=A788-A787</f>
      </c>
      <c r="H788" s="6" t="s">
        <f>=B788+H787</f>
      </c>
      <c r="I788" s="6" t="s">
        <f>=G788*H787</f>
      </c>
    </row>
    <row collapsed="false" customFormat="false" customHeight="false" hidden="false" ht="12.1" outlineLevel="0" r="789">
      <c r="A789" s="14" t="n">
        <v>45707</v>
      </c>
      <c r="B789" s="6" t="n">
        <v>-125</v>
      </c>
      <c r="C789" s="6" t="n">
        <v>-125</v>
      </c>
      <c r="D789" s="2" t="s">
        <v>496</v>
      </c>
      <c r="E789" s="2"/>
      <c r="F789" s="2"/>
      <c r="G789" s="6" t="s">
        <f>=A789-A788</f>
      </c>
      <c r="H789" s="6" t="s">
        <f>=B789+H788</f>
      </c>
      <c r="I789" s="6" t="s">
        <f>=G789*H788</f>
      </c>
    </row>
    <row collapsed="false" customFormat="false" customHeight="false" hidden="false" ht="12.1" outlineLevel="0" r="790">
      <c r="A790" s="14" t="n">
        <v>45708</v>
      </c>
      <c r="B790" s="6" t="n">
        <v>-8.66</v>
      </c>
      <c r="C790" s="6" t="n">
        <v>-8.66</v>
      </c>
      <c r="D790" s="2" t="s">
        <v>535</v>
      </c>
      <c r="E790" s="2"/>
      <c r="F790" s="2"/>
      <c r="G790" s="6" t="s">
        <f>=A790-A789</f>
      </c>
      <c r="H790" s="6" t="s">
        <f>=B790+H789</f>
      </c>
      <c r="I790" s="6" t="s">
        <f>=G790*H789</f>
      </c>
    </row>
    <row collapsed="false" customFormat="false" customHeight="false" hidden="false" ht="12.1" outlineLevel="0" r="791">
      <c r="A791" s="14" t="n">
        <v>45709</v>
      </c>
      <c r="B791" s="6" t="n">
        <v>-89.76</v>
      </c>
      <c r="C791" s="6" t="n">
        <v>-89.76</v>
      </c>
      <c r="D791" s="2" t="s">
        <v>679</v>
      </c>
      <c r="E791" s="2"/>
      <c r="F791" s="2"/>
      <c r="G791" s="6" t="s">
        <f>=A791-A790</f>
      </c>
      <c r="H791" s="6" t="s">
        <f>=B791+H790</f>
      </c>
      <c r="I791" s="6" t="s">
        <f>=G791*H790</f>
      </c>
    </row>
    <row collapsed="false" customFormat="false" customHeight="false" hidden="false" ht="12.1" outlineLevel="0" r="792">
      <c r="A792" s="14" t="n">
        <v>45709.443368056</v>
      </c>
      <c r="B792" s="6" t="n">
        <v>125</v>
      </c>
      <c r="C792" s="6" t="n">
        <v>125</v>
      </c>
      <c r="D792" s="2" t="s">
        <v>498</v>
      </c>
      <c r="E792" s="2"/>
      <c r="F792" s="2"/>
      <c r="G792" s="6" t="s">
        <f>=A792-A791</f>
      </c>
      <c r="H792" s="6" t="s">
        <f>=B792+H791</f>
      </c>
      <c r="I792" s="6" t="s">
        <f>=G792*H791</f>
      </c>
    </row>
    <row collapsed="false" customFormat="false" customHeight="false" hidden="false" ht="12.1" outlineLevel="0" r="793">
      <c r="A793" s="14" t="n">
        <v>45709.44431713</v>
      </c>
      <c r="B793" s="6" t="n">
        <v>8.66</v>
      </c>
      <c r="C793" s="6" t="n">
        <v>8.66</v>
      </c>
      <c r="D793" s="2" t="s">
        <v>408</v>
      </c>
      <c r="E793" s="2"/>
      <c r="F793" s="2"/>
      <c r="G793" s="6" t="s">
        <f>=A793-A792</f>
      </c>
      <c r="H793" s="6" t="s">
        <f>=B793+H792</f>
      </c>
      <c r="I793" s="6" t="s">
        <f>=G793*H792</f>
      </c>
    </row>
    <row collapsed="false" customFormat="false" customHeight="false" hidden="false" ht="12.1" outlineLevel="0" r="794">
      <c r="A794" s="14" t="n">
        <v>45710</v>
      </c>
      <c r="B794" s="6" t="n">
        <v>-11.18</v>
      </c>
      <c r="C794" s="6" t="n">
        <v>-11.18</v>
      </c>
      <c r="D794" s="2" t="s">
        <v>598</v>
      </c>
      <c r="E794" s="2"/>
      <c r="F794" s="2"/>
      <c r="G794" s="6" t="s">
        <f>=A794-A793</f>
      </c>
      <c r="H794" s="6" t="s">
        <f>=B794+H793</f>
      </c>
      <c r="I794" s="6" t="s">
        <f>=G794*H793</f>
      </c>
    </row>
    <row collapsed="false" customFormat="false" customHeight="false" hidden="false" ht="12.1" outlineLevel="0" r="795">
      <c r="A795" s="14" t="n">
        <v>45712</v>
      </c>
      <c r="B795" s="6" t="n">
        <v>-36.32</v>
      </c>
      <c r="C795" s="6" t="n">
        <v>-36.32</v>
      </c>
      <c r="D795" s="2" t="s">
        <v>655</v>
      </c>
      <c r="E795" s="2"/>
      <c r="F795" s="2"/>
      <c r="G795" s="6" t="s">
        <f>=A795-A794</f>
      </c>
      <c r="H795" s="6" t="s">
        <f>=B795+H794</f>
      </c>
      <c r="I795" s="6" t="s">
        <f>=G795*H794</f>
      </c>
    </row>
    <row collapsed="false" customFormat="false" customHeight="false" hidden="false" ht="12.1" outlineLevel="0" r="796">
      <c r="A796" s="14" t="n">
        <v>45712</v>
      </c>
      <c r="B796" s="6" t="n">
        <v>89.76</v>
      </c>
      <c r="C796" s="6" t="n">
        <v>89.76</v>
      </c>
      <c r="D796" s="2" t="s">
        <v>680</v>
      </c>
      <c r="E796" s="2"/>
      <c r="F796" s="2"/>
      <c r="G796" s="6" t="s">
        <f>=A796-A795</f>
      </c>
      <c r="H796" s="6" t="s">
        <f>=B796+H795</f>
      </c>
      <c r="I796" s="6" t="s">
        <f>=G796*H795</f>
      </c>
    </row>
    <row collapsed="false" customFormat="false" customHeight="false" hidden="false" ht="12.1" outlineLevel="0" r="797">
      <c r="A797" s="14" t="n">
        <v>45713</v>
      </c>
      <c r="B797" s="6" t="n">
        <v>-18.67</v>
      </c>
      <c r="C797" s="6" t="n">
        <v>-18.67</v>
      </c>
      <c r="D797" s="2" t="s">
        <v>681</v>
      </c>
      <c r="E797" s="2"/>
      <c r="F797" s="2"/>
      <c r="G797" s="6" t="s">
        <f>=A797-A796</f>
      </c>
      <c r="H797" s="6" t="s">
        <f>=B797+H796</f>
      </c>
      <c r="I797" s="6" t="s">
        <f>=G797*H796</f>
      </c>
    </row>
    <row collapsed="false" customFormat="false" customHeight="false" hidden="false" ht="12.1" outlineLevel="0" r="798">
      <c r="A798" s="14" t="n">
        <v>45713</v>
      </c>
      <c r="B798" s="6" t="n">
        <v>-74.79</v>
      </c>
      <c r="C798" s="6" t="n">
        <v>-74.79</v>
      </c>
      <c r="D798" s="2" t="s">
        <v>682</v>
      </c>
      <c r="E798" s="2"/>
      <c r="F798" s="2"/>
      <c r="G798" s="6" t="s">
        <f>=A798-A797</f>
      </c>
      <c r="H798" s="6" t="s">
        <f>=B798+H797</f>
      </c>
      <c r="I798" s="6" t="s">
        <f>=G798*H797</f>
      </c>
    </row>
    <row collapsed="false" customFormat="false" customHeight="false" hidden="false" ht="12.1" outlineLevel="0" r="799">
      <c r="A799" s="14" t="n">
        <v>45713.518472222</v>
      </c>
      <c r="B799" s="6" t="n">
        <v>11.18</v>
      </c>
      <c r="C799" s="6" t="n">
        <v>11.18</v>
      </c>
      <c r="D799" s="2" t="s">
        <v>602</v>
      </c>
      <c r="E799" s="2"/>
      <c r="F799" s="2"/>
      <c r="G799" s="6" t="s">
        <f>=A799-A798</f>
      </c>
      <c r="H799" s="6" t="s">
        <f>=B799+H798</f>
      </c>
      <c r="I799" s="6" t="s">
        <f>=G799*H798</f>
      </c>
    </row>
    <row collapsed="false" customFormat="false" customHeight="false" hidden="false" ht="12.1" outlineLevel="0" r="800">
      <c r="A800" s="14" t="n">
        <v>45713.522118056</v>
      </c>
      <c r="B800" s="6" t="n">
        <v>36.32</v>
      </c>
      <c r="C800" s="6" t="n">
        <v>36.32</v>
      </c>
      <c r="D800" s="2" t="s">
        <v>576</v>
      </c>
      <c r="E800" s="2"/>
      <c r="F800" s="2"/>
      <c r="G800" s="6" t="s">
        <f>=A800-A799</f>
      </c>
      <c r="H800" s="6" t="s">
        <f>=B800+H799</f>
      </c>
      <c r="I800" s="6" t="s">
        <f>=G800*H799</f>
      </c>
    </row>
    <row collapsed="false" customFormat="false" customHeight="false" hidden="false" ht="12.1" outlineLevel="0" r="801">
      <c r="A801" s="14" t="n">
        <v>45714.43125</v>
      </c>
      <c r="B801" s="6" t="n">
        <v>19475</v>
      </c>
      <c r="C801" s="6" t="n">
        <v>19475</v>
      </c>
      <c r="D801" s="2" t="s">
        <v>683</v>
      </c>
      <c r="E801" s="2"/>
      <c r="F801" s="2"/>
      <c r="G801" s="6" t="s">
        <f>=A801-A800</f>
      </c>
      <c r="H801" s="6" t="s">
        <f>=B801+H800</f>
      </c>
      <c r="I801" s="6" t="s">
        <f>=G801*H800</f>
      </c>
    </row>
    <row collapsed="false" customFormat="false" customHeight="false" hidden="false" ht="12.1" outlineLevel="0" r="802">
      <c r="A802" s="14" t="n">
        <v>45714.467361111</v>
      </c>
      <c r="B802" s="6" t="n">
        <v>-19475</v>
      </c>
      <c r="C802" s="6" t="n">
        <v>0</v>
      </c>
      <c r="D802" s="2" t="s">
        <v>336</v>
      </c>
      <c r="E802" s="2"/>
      <c r="F802" s="2"/>
      <c r="G802" s="6" t="s">
        <f>=A802-A801</f>
      </c>
      <c r="H802" s="6" t="s">
        <f>=B802+H801</f>
      </c>
      <c r="I802" s="6" t="s">
        <f>=G802*H801</f>
      </c>
    </row>
    <row collapsed="false" customFormat="false" customHeight="false" hidden="false" ht="12.1" outlineLevel="0" r="803">
      <c r="A803" s="14" t="n">
        <v>45714.564108796</v>
      </c>
      <c r="B803" s="6" t="n">
        <v>18.67</v>
      </c>
      <c r="C803" s="6" t="n">
        <v>18.67</v>
      </c>
      <c r="D803" s="2" t="s">
        <v>506</v>
      </c>
      <c r="E803" s="2"/>
      <c r="F803" s="2"/>
      <c r="G803" s="6" t="s">
        <f>=A803-A802</f>
      </c>
      <c r="H803" s="6" t="s">
        <f>=B803+H802</f>
      </c>
      <c r="I803" s="6" t="s">
        <f>=G803*H802</f>
      </c>
    </row>
    <row collapsed="false" customFormat="false" customHeight="false" hidden="false" ht="12.1" outlineLevel="0" r="804">
      <c r="A804" s="14" t="n">
        <v>45714.581469907</v>
      </c>
      <c r="B804" s="6" t="n">
        <v>74.79</v>
      </c>
      <c r="C804" s="6" t="n">
        <v>74.79</v>
      </c>
      <c r="D804" s="2" t="s">
        <v>635</v>
      </c>
      <c r="E804" s="2"/>
      <c r="F804" s="2"/>
      <c r="G804" s="6" t="s">
        <f>=A804-A803</f>
      </c>
      <c r="H804" s="6" t="s">
        <f>=B804+H803</f>
      </c>
      <c r="I804" s="6" t="s">
        <f>=G804*H803</f>
      </c>
    </row>
    <row collapsed="false" customFormat="false" customHeight="false" hidden="false" ht="12.1" outlineLevel="0" r="805">
      <c r="A805" s="14" t="n">
        <v>45716</v>
      </c>
      <c r="B805" s="6" t="n">
        <v>-24.81</v>
      </c>
      <c r="C805" s="6" t="n">
        <v>-24.81</v>
      </c>
      <c r="D805" s="2" t="s">
        <v>365</v>
      </c>
      <c r="E805" s="2"/>
      <c r="F805" s="2"/>
      <c r="G805" s="6" t="s">
        <f>=A805-A804</f>
      </c>
      <c r="H805" s="6" t="s">
        <f>=B805+H804</f>
      </c>
      <c r="I805" s="6" t="s">
        <f>=G805*H804</f>
      </c>
    </row>
    <row collapsed="false" customFormat="false" customHeight="false" hidden="false" ht="12.1" outlineLevel="0" r="806">
      <c r="A806" s="14" t="n">
        <v>45716</v>
      </c>
      <c r="B806" s="6" t="n">
        <v>-37.64</v>
      </c>
      <c r="C806" s="6" t="n">
        <v>-37.64</v>
      </c>
      <c r="D806" s="2" t="s">
        <v>684</v>
      </c>
      <c r="E806" s="2"/>
      <c r="F806" s="2"/>
      <c r="G806" s="6" t="s">
        <f>=A806-A805</f>
      </c>
      <c r="H806" s="6" t="s">
        <f>=B806+H805</f>
      </c>
      <c r="I806" s="6" t="s">
        <f>=G806*H805</f>
      </c>
    </row>
    <row collapsed="false" customFormat="false" customHeight="false" hidden="false" ht="12.1" outlineLevel="0" r="807">
      <c r="A807" s="14" t="n">
        <v>45719</v>
      </c>
      <c r="B807" s="6" t="n">
        <v>-39.9</v>
      </c>
      <c r="C807" s="6" t="n">
        <v>-39.9</v>
      </c>
      <c r="D807" s="2" t="s">
        <v>589</v>
      </c>
      <c r="E807" s="2"/>
      <c r="F807" s="2"/>
      <c r="G807" s="6" t="s">
        <f>=A807-A806</f>
      </c>
      <c r="H807" s="6" t="s">
        <f>=B807+H806</f>
      </c>
      <c r="I807" s="6" t="s">
        <f>=G807*H806</f>
      </c>
    </row>
    <row collapsed="false" customFormat="false" customHeight="false" hidden="false" ht="12.1" outlineLevel="0" r="808">
      <c r="A808" s="14" t="n">
        <v>45719.637708333</v>
      </c>
      <c r="B808" s="6" t="n">
        <v>37.64</v>
      </c>
      <c r="C808" s="6" t="n">
        <v>37.64</v>
      </c>
      <c r="D808" s="2" t="s">
        <v>440</v>
      </c>
      <c r="E808" s="2"/>
      <c r="F808" s="2"/>
      <c r="G808" s="6" t="s">
        <f>=A808-A807</f>
      </c>
      <c r="H808" s="6" t="s">
        <f>=B808+H807</f>
      </c>
      <c r="I808" s="6" t="s">
        <f>=G808*H807</f>
      </c>
    </row>
    <row collapsed="false" customFormat="false" customHeight="false" hidden="false" ht="12.1" outlineLevel="0" r="809">
      <c r="A809" s="14" t="n">
        <v>45719.63837963</v>
      </c>
      <c r="B809" s="6" t="n">
        <v>24.81</v>
      </c>
      <c r="C809" s="6" t="n">
        <v>24.81</v>
      </c>
      <c r="D809" s="2" t="s">
        <v>366</v>
      </c>
      <c r="E809" s="2"/>
      <c r="F809" s="2"/>
      <c r="G809" s="6" t="s">
        <f>=A809-A808</f>
      </c>
      <c r="H809" s="6" t="s">
        <f>=B809+H808</f>
      </c>
      <c r="I809" s="6" t="s">
        <f>=G809*H808</f>
      </c>
    </row>
    <row collapsed="false" customFormat="false" customHeight="false" hidden="false" ht="12.1" outlineLevel="0" r="810">
      <c r="A810" s="14" t="n">
        <v>45720</v>
      </c>
      <c r="B810" s="6" t="n">
        <v>-29.17</v>
      </c>
      <c r="C810" s="6" t="n">
        <v>-29.17</v>
      </c>
      <c r="D810" s="2" t="s">
        <v>637</v>
      </c>
      <c r="E810" s="2"/>
      <c r="F810" s="2"/>
      <c r="G810" s="6" t="s">
        <f>=A810-A809</f>
      </c>
      <c r="H810" s="6" t="s">
        <f>=B810+H809</f>
      </c>
      <c r="I810" s="6" t="s">
        <f>=G810*H809</f>
      </c>
    </row>
    <row collapsed="false" customFormat="false" customHeight="false" hidden="false" ht="12.1" outlineLevel="0" r="811">
      <c r="A811" s="14" t="n">
        <v>45720.419386574</v>
      </c>
      <c r="B811" s="6" t="n">
        <v>39.9</v>
      </c>
      <c r="C811" s="6" t="n">
        <v>39.9</v>
      </c>
      <c r="D811" s="2" t="s">
        <v>541</v>
      </c>
      <c r="E811" s="2"/>
      <c r="F811" s="2"/>
      <c r="G811" s="6" t="s">
        <f>=A811-A810</f>
      </c>
      <c r="H811" s="6" t="s">
        <f>=B811+H810</f>
      </c>
      <c r="I811" s="6" t="s">
        <f>=G811*H810</f>
      </c>
    </row>
    <row collapsed="false" customFormat="false" customHeight="false" hidden="false" ht="12.1" outlineLevel="0" r="812">
      <c r="A812" s="14" t="n">
        <v>45721</v>
      </c>
      <c r="B812" s="6" t="n">
        <v>-19.87</v>
      </c>
      <c r="C812" s="6" t="n">
        <v>-19.87</v>
      </c>
      <c r="D812" s="2" t="s">
        <v>367</v>
      </c>
      <c r="E812" s="2"/>
      <c r="F812" s="2"/>
      <c r="G812" s="6" t="s">
        <f>=A812-A811</f>
      </c>
      <c r="H812" s="6" t="s">
        <f>=B812+H811</f>
      </c>
      <c r="I812" s="6" t="s">
        <f>=G812*H811</f>
      </c>
    </row>
    <row collapsed="false" customFormat="false" customHeight="false" hidden="false" ht="12.1" outlineLevel="0" r="813">
      <c r="A813" s="14" t="n">
        <v>45721</v>
      </c>
      <c r="B813" s="6" t="n">
        <v>-19.55</v>
      </c>
      <c r="C813" s="6" t="n">
        <v>-19.55</v>
      </c>
      <c r="D813" s="2" t="s">
        <v>642</v>
      </c>
      <c r="E813" s="2"/>
      <c r="F813" s="2"/>
      <c r="G813" s="6" t="s">
        <f>=A813-A812</f>
      </c>
      <c r="H813" s="6" t="s">
        <f>=B813+H812</f>
      </c>
      <c r="I813" s="6" t="s">
        <f>=G813*H812</f>
      </c>
    </row>
    <row collapsed="false" customFormat="false" customHeight="false" hidden="false" ht="12.1" outlineLevel="0" r="814">
      <c r="A814" s="14" t="n">
        <v>45721</v>
      </c>
      <c r="B814" s="6" t="n">
        <v>-87.01</v>
      </c>
      <c r="C814" s="6" t="n">
        <v>-87.01</v>
      </c>
      <c r="D814" s="2" t="s">
        <v>685</v>
      </c>
      <c r="E814" s="2"/>
      <c r="F814" s="2"/>
      <c r="G814" s="6" t="s">
        <f>=A814-A813</f>
      </c>
      <c r="H814" s="6" t="s">
        <f>=B814+H813</f>
      </c>
      <c r="I814" s="6" t="s">
        <f>=G814*H813</f>
      </c>
    </row>
    <row collapsed="false" customFormat="false" customHeight="false" hidden="false" ht="12.1" outlineLevel="0" r="815">
      <c r="A815" s="14" t="n">
        <v>45721</v>
      </c>
      <c r="B815" s="6" t="n">
        <v>-179.52</v>
      </c>
      <c r="C815" s="6" t="n">
        <v>-179.52</v>
      </c>
      <c r="D815" s="2" t="s">
        <v>591</v>
      </c>
      <c r="E815" s="2"/>
      <c r="F815" s="2"/>
      <c r="G815" s="6" t="s">
        <f>=A815-A814</f>
      </c>
      <c r="H815" s="6" t="s">
        <f>=B815+H814</f>
      </c>
      <c r="I815" s="6" t="s">
        <f>=G815*H814</f>
      </c>
    </row>
    <row collapsed="false" customFormat="false" customHeight="false" hidden="false" ht="12.1" outlineLevel="0" r="816">
      <c r="A816" s="14" t="n">
        <v>45721</v>
      </c>
      <c r="B816" s="6" t="n">
        <v>-67</v>
      </c>
      <c r="C816" s="6" t="n">
        <v>-67</v>
      </c>
      <c r="D816" s="2" t="s">
        <v>499</v>
      </c>
      <c r="E816" s="2"/>
      <c r="F816" s="2"/>
      <c r="G816" s="6" t="s">
        <f>=A816-A815</f>
      </c>
      <c r="H816" s="6" t="s">
        <f>=B816+H815</f>
      </c>
      <c r="I816" s="6" t="s">
        <f>=G816*H815</f>
      </c>
    </row>
    <row collapsed="false" customFormat="false" customHeight="false" hidden="false" ht="12.1" outlineLevel="0" r="817">
      <c r="A817" s="14" t="n">
        <v>45721.587916667</v>
      </c>
      <c r="B817" s="6" t="n">
        <v>29.17</v>
      </c>
      <c r="C817" s="6" t="n">
        <v>29.17</v>
      </c>
      <c r="D817" s="2" t="s">
        <v>643</v>
      </c>
      <c r="E817" s="2"/>
      <c r="F817" s="2"/>
      <c r="G817" s="6" t="s">
        <f>=A817-A816</f>
      </c>
      <c r="H817" s="6" t="s">
        <f>=B817+H816</f>
      </c>
      <c r="I817" s="6" t="s">
        <f>=G817*H816</f>
      </c>
    </row>
    <row collapsed="false" customFormat="false" customHeight="false" hidden="false" ht="12.1" outlineLevel="0" r="818">
      <c r="A818" s="14" t="n">
        <v>45722</v>
      </c>
      <c r="B818" s="6" t="n">
        <v>-8.15</v>
      </c>
      <c r="C818" s="6" t="n">
        <v>-8.15</v>
      </c>
      <c r="D818" s="2" t="s">
        <v>686</v>
      </c>
      <c r="E818" s="2"/>
      <c r="F818" s="2"/>
      <c r="G818" s="6" t="s">
        <f>=A818-A817</f>
      </c>
      <c r="H818" s="6" t="s">
        <f>=B818+H817</f>
      </c>
      <c r="I818" s="6" t="s">
        <f>=G818*H817</f>
      </c>
    </row>
    <row collapsed="false" customFormat="false" customHeight="false" hidden="false" ht="12.1" outlineLevel="0" r="819">
      <c r="A819" s="14" t="n">
        <v>45722</v>
      </c>
      <c r="B819" s="6" t="n">
        <v>-35.53</v>
      </c>
      <c r="C819" s="6" t="n">
        <v>-35.53</v>
      </c>
      <c r="D819" s="2" t="s">
        <v>644</v>
      </c>
      <c r="E819" s="2"/>
      <c r="F819" s="2"/>
      <c r="G819" s="6" t="s">
        <f>=A819-A818</f>
      </c>
      <c r="H819" s="6" t="s">
        <f>=B819+H818</f>
      </c>
      <c r="I819" s="6" t="s">
        <f>=G819*H818</f>
      </c>
    </row>
    <row collapsed="false" customFormat="false" customHeight="false" hidden="false" ht="12.1" outlineLevel="0" r="820">
      <c r="A820" s="14" t="n">
        <v>45722</v>
      </c>
      <c r="B820" s="6" t="n">
        <v>179.52</v>
      </c>
      <c r="C820" s="6" t="n">
        <v>179.52</v>
      </c>
      <c r="D820" s="2" t="s">
        <v>593</v>
      </c>
      <c r="E820" s="2"/>
      <c r="F820" s="2"/>
      <c r="G820" s="6" t="s">
        <f>=A820-A819</f>
      </c>
      <c r="H820" s="6" t="s">
        <f>=B820+H819</f>
      </c>
      <c r="I820" s="6" t="s">
        <f>=G820*H819</f>
      </c>
    </row>
    <row collapsed="false" customFormat="false" customHeight="false" hidden="false" ht="12.1" outlineLevel="0" r="821">
      <c r="A821" s="14" t="n">
        <v>45722.43587963</v>
      </c>
      <c r="B821" s="6" t="n">
        <v>87.01</v>
      </c>
      <c r="C821" s="6" t="n">
        <v>87.01</v>
      </c>
      <c r="D821" s="2" t="s">
        <v>384</v>
      </c>
      <c r="E821" s="2"/>
      <c r="F821" s="2"/>
      <c r="G821" s="6" t="s">
        <f>=A821-A820</f>
      </c>
      <c r="H821" s="6" t="s">
        <f>=B821+H820</f>
      </c>
      <c r="I821" s="6" t="s">
        <f>=G821*H820</f>
      </c>
    </row>
    <row collapsed="false" customFormat="false" customHeight="false" hidden="false" ht="12.1" outlineLevel="0" r="822">
      <c r="A822" s="14" t="n">
        <v>45722.660231481</v>
      </c>
      <c r="B822" s="6" t="n">
        <v>19.87</v>
      </c>
      <c r="C822" s="6" t="n">
        <v>19.87</v>
      </c>
      <c r="D822" s="2" t="s">
        <v>368</v>
      </c>
      <c r="E822" s="2"/>
      <c r="F822" s="2"/>
      <c r="G822" s="6" t="s">
        <f>=A822-A821</f>
      </c>
      <c r="H822" s="6" t="s">
        <f>=B822+H821</f>
      </c>
      <c r="I822" s="6" t="s">
        <f>=G822*H821</f>
      </c>
    </row>
    <row collapsed="false" customFormat="false" customHeight="false" hidden="false" ht="12.1" outlineLevel="0" r="823">
      <c r="A823" s="14" t="n">
        <v>45722.663333333</v>
      </c>
      <c r="B823" s="6" t="n">
        <v>19.55</v>
      </c>
      <c r="C823" s="6" t="n">
        <v>19.55</v>
      </c>
      <c r="D823" s="2" t="s">
        <v>648</v>
      </c>
      <c r="E823" s="2"/>
      <c r="F823" s="2"/>
      <c r="G823" s="6" t="s">
        <f>=A823-A822</f>
      </c>
      <c r="H823" s="6" t="s">
        <f>=B823+H822</f>
      </c>
      <c r="I823" s="6" t="s">
        <f>=G823*H822</f>
      </c>
    </row>
    <row collapsed="false" customFormat="false" customHeight="false" hidden="false" ht="12.1" outlineLevel="0" r="824">
      <c r="A824" s="14" t="n">
        <v>45723.506493056</v>
      </c>
      <c r="B824" s="6" t="n">
        <v>8.15</v>
      </c>
      <c r="C824" s="6" t="n">
        <v>8.15</v>
      </c>
      <c r="D824" s="2" t="s">
        <v>503</v>
      </c>
      <c r="E824" s="2"/>
      <c r="F824" s="2"/>
      <c r="G824" s="6" t="s">
        <f>=A824-A823</f>
      </c>
      <c r="H824" s="6" t="s">
        <f>=B824+H823</f>
      </c>
      <c r="I824" s="6" t="s">
        <f>=G824*H823</f>
      </c>
    </row>
    <row collapsed="false" customFormat="false" customHeight="false" hidden="false" ht="12.1" outlineLevel="0" r="825">
      <c r="A825" s="14" t="n">
        <v>45723.507372685</v>
      </c>
      <c r="B825" s="6" t="n">
        <v>67</v>
      </c>
      <c r="C825" s="6" t="n">
        <v>67</v>
      </c>
      <c r="D825" s="2" t="s">
        <v>502</v>
      </c>
      <c r="E825" s="2"/>
      <c r="F825" s="2"/>
      <c r="G825" s="6" t="s">
        <f>=A825-A824</f>
      </c>
      <c r="H825" s="6" t="s">
        <f>=B825+H824</f>
      </c>
      <c r="I825" s="6" t="s">
        <f>=G825*H824</f>
      </c>
    </row>
    <row collapsed="false" customFormat="false" customHeight="false" hidden="false" ht="12.1" outlineLevel="0" r="826">
      <c r="A826" s="14" t="n">
        <v>45723.548414352</v>
      </c>
      <c r="B826" s="6" t="n">
        <v>35.53</v>
      </c>
      <c r="C826" s="6" t="n">
        <v>35.53</v>
      </c>
      <c r="D826" s="2" t="s">
        <v>649</v>
      </c>
      <c r="E826" s="2"/>
      <c r="F826" s="2"/>
      <c r="G826" s="6" t="s">
        <f>=A826-A825</f>
      </c>
      <c r="H826" s="6" t="s">
        <f>=B826+H825</f>
      </c>
      <c r="I826" s="6" t="s">
        <f>=G826*H825</f>
      </c>
    </row>
    <row collapsed="false" customFormat="false" customHeight="false" hidden="false" ht="12.1" outlineLevel="0" r="827">
      <c r="A827" s="14" t="n">
        <v>45729.5103125</v>
      </c>
      <c r="B827" s="6" t="n">
        <v>5000</v>
      </c>
      <c r="C827" s="6" t="n">
        <v>5000</v>
      </c>
      <c r="D827" s="2" t="s">
        <v>336</v>
      </c>
      <c r="E827" s="2"/>
      <c r="F827" s="2"/>
      <c r="G827" s="6" t="s">
        <f>=A827-A826</f>
      </c>
      <c r="H827" s="6" t="s">
        <f>=B827+H826</f>
      </c>
      <c r="I827" s="6" t="s">
        <f>=G827*H826</f>
      </c>
    </row>
    <row collapsed="false" customFormat="false" customHeight="false" hidden="false" ht="12.1" outlineLevel="0" r="828">
      <c r="A828" s="14" t="n">
        <v>45729.514479167</v>
      </c>
      <c r="B828" s="6" t="n">
        <v>6600</v>
      </c>
      <c r="C828" s="6" t="n">
        <v>6600</v>
      </c>
      <c r="D828" s="2" t="s">
        <v>336</v>
      </c>
      <c r="E828" s="2"/>
      <c r="F828" s="2"/>
      <c r="G828" s="6" t="s">
        <f>=A828-A827</f>
      </c>
      <c r="H828" s="6" t="s">
        <f>=B828+H827</f>
      </c>
      <c r="I828" s="6" t="s">
        <f>=G828*H827</f>
      </c>
    </row>
    <row collapsed="false" customFormat="false" customHeight="false" hidden="false" ht="12.1" outlineLevel="0" r="829">
      <c r="A829" s="14" t="n">
        <v>45730</v>
      </c>
      <c r="B829" s="6" t="n">
        <v>-35.66</v>
      </c>
      <c r="C829" s="6" t="n">
        <v>-35.66</v>
      </c>
      <c r="D829" s="2" t="s">
        <v>687</v>
      </c>
      <c r="E829" s="2"/>
      <c r="F829" s="2"/>
      <c r="G829" s="6" t="s">
        <f>=A829-A828</f>
      </c>
      <c r="H829" s="6" t="s">
        <f>=B829+H828</f>
      </c>
      <c r="I829" s="6" t="s">
        <f>=G829*H828</f>
      </c>
    </row>
    <row collapsed="false" customFormat="false" customHeight="false" hidden="false" ht="12.1" outlineLevel="0" r="830">
      <c r="A830" s="14" t="n">
        <v>45733.536284722</v>
      </c>
      <c r="B830" s="6" t="n">
        <v>35.66</v>
      </c>
      <c r="C830" s="6" t="n">
        <v>35.66</v>
      </c>
      <c r="D830" s="2" t="s">
        <v>688</v>
      </c>
      <c r="E830" s="2"/>
      <c r="F830" s="2"/>
      <c r="G830" s="6" t="s">
        <f>=A830-A829</f>
      </c>
      <c r="H830" s="6" t="s">
        <f>=B830+H829</f>
      </c>
      <c r="I830" s="6" t="s">
        <f>=G830*H829</f>
      </c>
    </row>
    <row collapsed="false" customFormat="false" customHeight="false" hidden="false" ht="12.1" outlineLevel="0" r="831">
      <c r="A831" s="14" t="n">
        <v>45734</v>
      </c>
      <c r="B831" s="6" t="n">
        <v>-39.39</v>
      </c>
      <c r="C831" s="6" t="n">
        <v>-39.39</v>
      </c>
      <c r="D831" s="2" t="s">
        <v>385</v>
      </c>
      <c r="E831" s="2"/>
      <c r="F831" s="2"/>
      <c r="G831" s="6" t="s">
        <f>=A831-A830</f>
      </c>
      <c r="H831" s="6" t="s">
        <f>=B831+H830</f>
      </c>
      <c r="I831" s="6" t="s">
        <f>=G831*H830</f>
      </c>
    </row>
    <row collapsed="false" customFormat="false" customHeight="false" hidden="false" ht="12.1" outlineLevel="0" r="832">
      <c r="A832" s="14" t="n">
        <v>45735</v>
      </c>
      <c r="B832" s="6" t="n">
        <v>-411.88</v>
      </c>
      <c r="C832" s="6" t="n">
        <v>-411.88</v>
      </c>
      <c r="D832" s="2" t="s">
        <v>689</v>
      </c>
      <c r="E832" s="2"/>
      <c r="F832" s="2"/>
      <c r="G832" s="6" t="s">
        <f>=A832-A831</f>
      </c>
      <c r="H832" s="6" t="s">
        <f>=B832+H831</f>
      </c>
      <c r="I832" s="6" t="s">
        <f>=G832*H831</f>
      </c>
    </row>
    <row collapsed="false" customFormat="false" customHeight="false" hidden="false" ht="12.1" outlineLevel="0" r="833">
      <c r="A833" s="14" t="n">
        <v>45735.545590278</v>
      </c>
      <c r="B833" s="6" t="n">
        <v>39.39</v>
      </c>
      <c r="C833" s="6" t="n">
        <v>39.39</v>
      </c>
      <c r="D833" s="2" t="s">
        <v>388</v>
      </c>
      <c r="E833" s="2"/>
      <c r="F833" s="2"/>
      <c r="G833" s="6" t="s">
        <f>=A833-A832</f>
      </c>
      <c r="H833" s="6" t="s">
        <f>=B833+H832</f>
      </c>
      <c r="I833" s="6" t="s">
        <f>=G833*H832</f>
      </c>
    </row>
    <row collapsed="false" customFormat="false" customHeight="false" hidden="false" ht="12.1" outlineLevel="0" r="834">
      <c r="A834" s="14" t="n">
        <v>45736.5271875</v>
      </c>
      <c r="B834" s="6" t="n">
        <v>411.88</v>
      </c>
      <c r="C834" s="6" t="n">
        <v>411.88</v>
      </c>
      <c r="D834" s="2" t="s">
        <v>348</v>
      </c>
      <c r="E834" s="2"/>
      <c r="F834" s="2"/>
      <c r="G834" s="6" t="s">
        <f>=A834-A833</f>
      </c>
      <c r="H834" s="6" t="s">
        <f>=B834+H833</f>
      </c>
      <c r="I834" s="6" t="s">
        <f>=G834*H833</f>
      </c>
    </row>
    <row collapsed="false" customFormat="false" customHeight="false" hidden="false" ht="12.1" outlineLevel="0" r="835">
      <c r="A835" s="14" t="n">
        <v>45740</v>
      </c>
      <c r="B835" s="6" t="n">
        <v>-11.18</v>
      </c>
      <c r="C835" s="6" t="n">
        <v>-11.18</v>
      </c>
      <c r="D835" s="2" t="s">
        <v>598</v>
      </c>
      <c r="E835" s="2"/>
      <c r="F835" s="2"/>
      <c r="G835" s="6" t="s">
        <f>=A835-A834</f>
      </c>
      <c r="H835" s="6" t="s">
        <f>=B835+H834</f>
      </c>
      <c r="I835" s="6" t="s">
        <f>=G835*H834</f>
      </c>
    </row>
    <row collapsed="false" customFormat="false" customHeight="false" hidden="false" ht="12.1" outlineLevel="0" r="836">
      <c r="A836" s="14" t="n">
        <v>45740</v>
      </c>
      <c r="B836" s="6" t="n">
        <v>-90.76</v>
      </c>
      <c r="C836" s="6" t="n">
        <v>-90.76</v>
      </c>
      <c r="D836" s="2" t="s">
        <v>690</v>
      </c>
      <c r="E836" s="2"/>
      <c r="F836" s="2"/>
      <c r="G836" s="6" t="s">
        <f>=A836-A835</f>
      </c>
      <c r="H836" s="6" t="s">
        <f>=B836+H835</f>
      </c>
      <c r="I836" s="6" t="s">
        <f>=G836*H835</f>
      </c>
    </row>
    <row collapsed="false" customFormat="false" customHeight="false" hidden="false" ht="12.1" outlineLevel="0" r="837">
      <c r="A837" s="14" t="n">
        <v>45740</v>
      </c>
      <c r="B837" s="6" t="n">
        <v>-150</v>
      </c>
      <c r="C837" s="6" t="n">
        <v>-150</v>
      </c>
      <c r="D837" s="2" t="s">
        <v>551</v>
      </c>
      <c r="E837" s="2"/>
      <c r="F837" s="2"/>
      <c r="G837" s="6" t="s">
        <f>=A837-A836</f>
      </c>
      <c r="H837" s="6" t="s">
        <f>=B837+H836</f>
      </c>
      <c r="I837" s="6" t="s">
        <f>=G837*H836</f>
      </c>
    </row>
    <row collapsed="false" customFormat="false" customHeight="false" hidden="false" ht="12.1" outlineLevel="0" r="838">
      <c r="A838" s="14" t="n">
        <v>45741</v>
      </c>
      <c r="B838" s="6" t="n">
        <v>-3.93</v>
      </c>
      <c r="C838" s="6" t="n">
        <v>-3.93</v>
      </c>
      <c r="D838" s="2" t="s">
        <v>691</v>
      </c>
      <c r="E838" s="2"/>
      <c r="F838" s="2"/>
      <c r="G838" s="6" t="s">
        <f>=A838-A837</f>
      </c>
      <c r="H838" s="6" t="s">
        <f>=B838+H837</f>
      </c>
      <c r="I838" s="6" t="s">
        <f>=G838*H837</f>
      </c>
    </row>
    <row collapsed="false" customFormat="false" customHeight="false" hidden="false" ht="12.1" outlineLevel="0" r="839">
      <c r="A839" s="14" t="n">
        <v>45741.604328704</v>
      </c>
      <c r="B839" s="6" t="n">
        <v>11.18</v>
      </c>
      <c r="C839" s="6" t="n">
        <v>11.18</v>
      </c>
      <c r="D839" s="2" t="s">
        <v>602</v>
      </c>
      <c r="E839" s="2"/>
      <c r="F839" s="2"/>
      <c r="G839" s="6" t="s">
        <f>=A839-A838</f>
      </c>
      <c r="H839" s="6" t="s">
        <f>=B839+H838</f>
      </c>
      <c r="I839" s="6" t="s">
        <f>=G839*H838</f>
      </c>
    </row>
    <row collapsed="false" customFormat="false" customHeight="false" hidden="false" ht="12.1" outlineLevel="0" r="840">
      <c r="A840" s="14" t="n">
        <v>45741.619259259</v>
      </c>
      <c r="B840" s="6" t="n">
        <v>90.76</v>
      </c>
      <c r="C840" s="6" t="n">
        <v>90.76</v>
      </c>
      <c r="D840" s="2" t="s">
        <v>692</v>
      </c>
      <c r="E840" s="2"/>
      <c r="F840" s="2"/>
      <c r="G840" s="6" t="s">
        <f>=A840-A839</f>
      </c>
      <c r="H840" s="6" t="s">
        <f>=B840+H839</f>
      </c>
      <c r="I840" s="6" t="s">
        <f>=G840*H839</f>
      </c>
    </row>
    <row collapsed="false" customFormat="false" customHeight="false" hidden="false" ht="12.1" outlineLevel="0" r="841">
      <c r="A841" s="14" t="n">
        <v>45742</v>
      </c>
      <c r="B841" s="6" t="n">
        <v>-392.7</v>
      </c>
      <c r="C841" s="6" t="n">
        <v>-392.7</v>
      </c>
      <c r="D841" s="2" t="s">
        <v>600</v>
      </c>
      <c r="E841" s="2"/>
      <c r="F841" s="2"/>
      <c r="G841" s="6" t="s">
        <f>=A841-A840</f>
      </c>
      <c r="H841" s="6" t="s">
        <f>=B841+H840</f>
      </c>
      <c r="I841" s="6" t="s">
        <f>=G841*H840</f>
      </c>
    </row>
    <row collapsed="false" customFormat="false" customHeight="false" hidden="false" ht="12.1" outlineLevel="0" r="842">
      <c r="A842" s="14" t="n">
        <v>45742</v>
      </c>
      <c r="B842" s="6" t="n">
        <v>-299.2</v>
      </c>
      <c r="C842" s="6" t="n">
        <v>-299.2</v>
      </c>
      <c r="D842" s="2" t="s">
        <v>693</v>
      </c>
      <c r="E842" s="2"/>
      <c r="F842" s="2"/>
      <c r="G842" s="6" t="s">
        <f>=A842-A841</f>
      </c>
      <c r="H842" s="6" t="s">
        <f>=B842+H841</f>
      </c>
      <c r="I842" s="6" t="s">
        <f>=G842*H841</f>
      </c>
    </row>
    <row collapsed="false" customFormat="false" customHeight="false" hidden="false" ht="12.1" outlineLevel="0" r="843">
      <c r="A843" s="14" t="n">
        <v>45742</v>
      </c>
      <c r="B843" s="6" t="n">
        <v>-423.8</v>
      </c>
      <c r="C843" s="6" t="n">
        <v>-423.8</v>
      </c>
      <c r="D843" s="2" t="s">
        <v>694</v>
      </c>
      <c r="E843" s="2"/>
      <c r="F843" s="2"/>
      <c r="G843" s="6" t="s">
        <f>=A843-A842</f>
      </c>
      <c r="H843" s="6" t="s">
        <f>=B843+H842</f>
      </c>
      <c r="I843" s="6" t="s">
        <f>=G843*H842</f>
      </c>
    </row>
    <row collapsed="false" customFormat="false" customHeight="false" hidden="false" ht="12.1" outlineLevel="0" r="844">
      <c r="A844" s="14" t="n">
        <v>45742</v>
      </c>
      <c r="B844" s="6" t="n">
        <v>-36.32</v>
      </c>
      <c r="C844" s="6" t="n">
        <v>-36.32</v>
      </c>
      <c r="D844" s="2" t="s">
        <v>655</v>
      </c>
      <c r="E844" s="2"/>
      <c r="F844" s="2"/>
      <c r="G844" s="6" t="s">
        <f>=A844-A843</f>
      </c>
      <c r="H844" s="6" t="s">
        <f>=B844+H843</f>
      </c>
      <c r="I844" s="6" t="s">
        <f>=G844*H843</f>
      </c>
    </row>
    <row collapsed="false" customFormat="false" customHeight="false" hidden="false" ht="12.1" outlineLevel="0" r="845">
      <c r="A845" s="14" t="n">
        <v>45742</v>
      </c>
      <c r="B845" s="6" t="n">
        <v>-68.52</v>
      </c>
      <c r="C845" s="6" t="n">
        <v>-68.52</v>
      </c>
      <c r="D845" s="2" t="s">
        <v>695</v>
      </c>
      <c r="E845" s="2"/>
      <c r="F845" s="2"/>
      <c r="G845" s="6" t="s">
        <f>=A845-A844</f>
      </c>
      <c r="H845" s="6" t="s">
        <f>=B845+H844</f>
      </c>
      <c r="I845" s="6" t="s">
        <f>=G845*H844</f>
      </c>
    </row>
    <row collapsed="false" customFormat="false" customHeight="false" hidden="false" ht="12.1" outlineLevel="0" r="846">
      <c r="A846" s="14" t="n">
        <v>45742.430509259</v>
      </c>
      <c r="B846" s="6" t="n">
        <v>3.93</v>
      </c>
      <c r="C846" s="6" t="n">
        <v>3.93</v>
      </c>
      <c r="D846" s="2" t="s">
        <v>448</v>
      </c>
      <c r="E846" s="2"/>
      <c r="F846" s="2"/>
      <c r="G846" s="6" t="s">
        <f>=A846-A845</f>
      </c>
      <c r="H846" s="6" t="s">
        <f>=B846+H845</f>
      </c>
      <c r="I846" s="6" t="s">
        <f>=G846*H845</f>
      </c>
    </row>
    <row collapsed="false" customFormat="false" customHeight="false" hidden="false" ht="12.1" outlineLevel="0" r="847">
      <c r="A847" s="14" t="n">
        <v>45742.449675926</v>
      </c>
      <c r="B847" s="6" t="n">
        <v>150</v>
      </c>
      <c r="C847" s="6" t="n">
        <v>150</v>
      </c>
      <c r="D847" s="2" t="s">
        <v>696</v>
      </c>
      <c r="E847" s="2"/>
      <c r="F847" s="2"/>
      <c r="G847" s="6" t="s">
        <f>=A847-A846</f>
      </c>
      <c r="H847" s="6" t="s">
        <f>=B847+H846</f>
      </c>
      <c r="I847" s="6" t="s">
        <f>=G847*H846</f>
      </c>
    </row>
    <row collapsed="false" customFormat="false" customHeight="false" hidden="false" ht="12.1" outlineLevel="0" r="848">
      <c r="A848" s="14" t="n">
        <v>45742.749884259</v>
      </c>
      <c r="B848" s="6" t="n">
        <v>299.2</v>
      </c>
      <c r="C848" s="6" t="n">
        <v>299.2</v>
      </c>
      <c r="D848" s="2" t="s">
        <v>697</v>
      </c>
      <c r="E848" s="2"/>
      <c r="F848" s="2"/>
      <c r="G848" s="6" t="s">
        <f>=A848-A847</f>
      </c>
      <c r="H848" s="6" t="s">
        <f>=B848+H847</f>
      </c>
      <c r="I848" s="6" t="s">
        <f>=G848*H847</f>
      </c>
    </row>
    <row collapsed="false" customFormat="false" customHeight="false" hidden="false" ht="12.1" outlineLevel="0" r="849">
      <c r="A849" s="14" t="n">
        <v>45743.419722222</v>
      </c>
      <c r="B849" s="6" t="n">
        <v>392.7</v>
      </c>
      <c r="C849" s="6" t="n">
        <v>392.7</v>
      </c>
      <c r="D849" s="2" t="s">
        <v>513</v>
      </c>
      <c r="E849" s="2"/>
      <c r="F849" s="2"/>
      <c r="G849" s="6" t="s">
        <f>=A849-A848</f>
      </c>
      <c r="H849" s="6" t="s">
        <f>=B849+H848</f>
      </c>
      <c r="I849" s="6" t="s">
        <f>=G849*H848</f>
      </c>
    </row>
    <row collapsed="false" customFormat="false" customHeight="false" hidden="false" ht="12.1" outlineLevel="0" r="850">
      <c r="A850" s="14" t="n">
        <v>45743.488877315</v>
      </c>
      <c r="B850" s="6" t="n">
        <v>36.32</v>
      </c>
      <c r="C850" s="6" t="n">
        <v>36.32</v>
      </c>
      <c r="D850" s="2" t="s">
        <v>576</v>
      </c>
      <c r="E850" s="2"/>
      <c r="F850" s="2"/>
      <c r="G850" s="6" t="s">
        <f>=A850-A849</f>
      </c>
      <c r="H850" s="6" t="s">
        <f>=B850+H849</f>
      </c>
      <c r="I850" s="6" t="s">
        <f>=G850*H849</f>
      </c>
    </row>
    <row collapsed="false" customFormat="false" customHeight="false" hidden="false" ht="12.1" outlineLevel="0" r="851">
      <c r="A851" s="14" t="n">
        <v>45743.526921296</v>
      </c>
      <c r="B851" s="6" t="n">
        <v>423.8</v>
      </c>
      <c r="C851" s="6" t="n">
        <v>423.8</v>
      </c>
      <c r="D851" s="2" t="s">
        <v>514</v>
      </c>
      <c r="E851" s="2"/>
      <c r="F851" s="2"/>
      <c r="G851" s="6" t="s">
        <f>=A851-A850</f>
      </c>
      <c r="H851" s="6" t="s">
        <f>=B851+H850</f>
      </c>
      <c r="I851" s="6" t="s">
        <f>=G851*H850</f>
      </c>
    </row>
    <row collapsed="false" customFormat="false" customHeight="false" hidden="false" ht="12.1" outlineLevel="0" r="852">
      <c r="A852" s="14" t="n">
        <v>45743.5475</v>
      </c>
      <c r="B852" s="6" t="n">
        <v>68.52</v>
      </c>
      <c r="C852" s="6" t="n">
        <v>68.52</v>
      </c>
      <c r="D852" s="2" t="s">
        <v>390</v>
      </c>
      <c r="E852" s="2"/>
      <c r="F852" s="2"/>
      <c r="G852" s="6" t="s">
        <f>=A852-A851</f>
      </c>
      <c r="H852" s="6" t="s">
        <f>=B852+H851</f>
      </c>
      <c r="I852" s="6" t="s">
        <f>=G852*H851</f>
      </c>
    </row>
    <row collapsed="false" customFormat="false" customHeight="false" hidden="false" ht="12.1" outlineLevel="0" r="853">
      <c r="A853" s="14" t="n">
        <v>45744</v>
      </c>
      <c r="B853" s="6" t="n">
        <v>-52.36</v>
      </c>
      <c r="C853" s="6" t="n">
        <v>-52.36</v>
      </c>
      <c r="D853" s="2" t="s">
        <v>698</v>
      </c>
      <c r="E853" s="2"/>
      <c r="F853" s="2"/>
      <c r="G853" s="6" t="s">
        <f>=A853-A852</f>
      </c>
      <c r="H853" s="6" t="s">
        <f>=B853+H852</f>
      </c>
      <c r="I853" s="6" t="s">
        <f>=G853*H852</f>
      </c>
    </row>
    <row collapsed="false" customFormat="false" customHeight="false" hidden="false" ht="12.1" outlineLevel="0" r="854">
      <c r="A854" s="14" t="n">
        <v>45744</v>
      </c>
      <c r="B854" s="6" t="n">
        <v>-18.7</v>
      </c>
      <c r="C854" s="6" t="n">
        <v>-18.7</v>
      </c>
      <c r="D854" s="2" t="s">
        <v>699</v>
      </c>
      <c r="E854" s="2"/>
      <c r="F854" s="2"/>
      <c r="G854" s="6" t="s">
        <f>=A854-A853</f>
      </c>
      <c r="H854" s="6" t="s">
        <f>=B854+H853</f>
      </c>
      <c r="I854" s="6" t="s">
        <f>=G854*H853</f>
      </c>
    </row>
    <row collapsed="false" customFormat="false" customHeight="false" hidden="false" ht="12.1" outlineLevel="0" r="855">
      <c r="A855" s="14" t="n">
        <v>45747</v>
      </c>
      <c r="B855" s="6" t="n">
        <v>-37.72</v>
      </c>
      <c r="C855" s="6" t="n">
        <v>-37.72</v>
      </c>
      <c r="D855" s="2" t="s">
        <v>700</v>
      </c>
      <c r="E855" s="2"/>
      <c r="F855" s="2"/>
      <c r="G855" s="6" t="s">
        <f>=A855-A854</f>
      </c>
      <c r="H855" s="6" t="s">
        <f>=B855+H854</f>
      </c>
      <c r="I855" s="6" t="s">
        <f>=G855*H854</f>
      </c>
    </row>
    <row collapsed="false" customFormat="false" customHeight="false" hidden="false" ht="12.1" outlineLevel="0" r="856">
      <c r="A856" s="14" t="n">
        <v>45747.474895833</v>
      </c>
      <c r="B856" s="6" t="n">
        <v>52.36</v>
      </c>
      <c r="C856" s="6" t="n">
        <v>52.36</v>
      </c>
      <c r="D856" s="2" t="s">
        <v>701</v>
      </c>
      <c r="E856" s="2"/>
      <c r="F856" s="2"/>
      <c r="G856" s="6" t="s">
        <f>=A856-A855</f>
      </c>
      <c r="H856" s="6" t="s">
        <f>=B856+H855</f>
      </c>
      <c r="I856" s="6" t="s">
        <f>=G856*H855</f>
      </c>
    </row>
    <row collapsed="false" customFormat="false" customHeight="false" hidden="false" ht="12.1" outlineLevel="0" r="857">
      <c r="A857" s="14" t="n">
        <v>45747.499525463</v>
      </c>
      <c r="B857" s="6" t="n">
        <v>18.7</v>
      </c>
      <c r="C857" s="6" t="n">
        <v>18.7</v>
      </c>
      <c r="D857" s="2" t="s">
        <v>506</v>
      </c>
      <c r="E857" s="2"/>
      <c r="F857" s="2"/>
      <c r="G857" s="6" t="s">
        <f>=A857-A856</f>
      </c>
      <c r="H857" s="6" t="s">
        <f>=B857+H856</f>
      </c>
      <c r="I857" s="6" t="s">
        <f>=G857*H856</f>
      </c>
    </row>
    <row collapsed="false" customFormat="false" customHeight="false" hidden="false" ht="12.1" outlineLevel="0" r="858">
      <c r="A858" s="14" t="n">
        <v>45748.536886574</v>
      </c>
      <c r="B858" s="6" t="n">
        <v>37.72</v>
      </c>
      <c r="C858" s="6" t="n">
        <v>37.72</v>
      </c>
      <c r="D858" s="2" t="s">
        <v>440</v>
      </c>
      <c r="E858" s="2"/>
      <c r="F858" s="2"/>
      <c r="G858" s="6" t="s">
        <f>=A858-A857</f>
      </c>
      <c r="H858" s="6" t="s">
        <f>=B858+H857</f>
      </c>
      <c r="I858" s="6" t="s">
        <f>=G858*H857</f>
      </c>
    </row>
    <row collapsed="false" customFormat="false" customHeight="false" hidden="false" ht="12.1" outlineLevel="0" r="859">
      <c r="A859" s="14" t="n">
        <v>45749</v>
      </c>
      <c r="B859" s="6" t="n">
        <v>-652.63</v>
      </c>
      <c r="C859" s="6" t="n">
        <v>-652.63</v>
      </c>
      <c r="D859" s="2" t="s">
        <v>702</v>
      </c>
      <c r="E859" s="2"/>
      <c r="F859" s="2"/>
      <c r="G859" s="6" t="s">
        <f>=A859-A858</f>
      </c>
      <c r="H859" s="6" t="s">
        <f>=B859+H858</f>
      </c>
      <c r="I859" s="6" t="s">
        <f>=G859*H858</f>
      </c>
    </row>
    <row collapsed="false" customFormat="false" customHeight="false" hidden="false" ht="12.1" outlineLevel="0" r="860">
      <c r="A860" s="14" t="n">
        <v>45749</v>
      </c>
      <c r="B860" s="6" t="n">
        <v>-345.51</v>
      </c>
      <c r="C860" s="6" t="n">
        <v>-345.51</v>
      </c>
      <c r="D860" s="2" t="s">
        <v>703</v>
      </c>
      <c r="E860" s="2"/>
      <c r="F860" s="2"/>
      <c r="G860" s="6" t="s">
        <f>=A860-A859</f>
      </c>
      <c r="H860" s="6" t="s">
        <f>=B860+H859</f>
      </c>
      <c r="I860" s="6" t="s">
        <f>=G860*H859</f>
      </c>
    </row>
    <row collapsed="false" customFormat="false" customHeight="false" hidden="false" ht="12.1" outlineLevel="0" r="861">
      <c r="A861" s="14" t="n">
        <v>45750</v>
      </c>
      <c r="B861" s="6" t="n">
        <v>-6.98</v>
      </c>
      <c r="C861" s="6" t="n">
        <v>-6.98</v>
      </c>
      <c r="D861" s="2" t="s">
        <v>607</v>
      </c>
      <c r="E861" s="2"/>
      <c r="F861" s="2"/>
      <c r="G861" s="6" t="s">
        <f>=A861-A860</f>
      </c>
      <c r="H861" s="6" t="s">
        <f>=B861+H860</f>
      </c>
      <c r="I861" s="6" t="s">
        <f>=G861*H860</f>
      </c>
    </row>
    <row collapsed="false" customFormat="false" customHeight="false" hidden="false" ht="12.1" outlineLevel="0" r="862">
      <c r="A862" s="14" t="n">
        <v>45750.429351852</v>
      </c>
      <c r="B862" s="6" t="n">
        <v>345.51</v>
      </c>
      <c r="C862" s="6" t="n">
        <v>345.51</v>
      </c>
      <c r="D862" s="2" t="s">
        <v>393</v>
      </c>
      <c r="E862" s="2"/>
      <c r="F862" s="2"/>
      <c r="G862" s="6" t="s">
        <f>=A862-A861</f>
      </c>
      <c r="H862" s="6" t="s">
        <f>=B862+H861</f>
      </c>
      <c r="I862" s="6" t="s">
        <f>=G862*H861</f>
      </c>
    </row>
    <row collapsed="false" customFormat="false" customHeight="false" hidden="false" ht="12.1" outlineLevel="0" r="863">
      <c r="A863" s="14" t="n">
        <v>45750.472719907</v>
      </c>
      <c r="B863" s="6" t="n">
        <v>652.63</v>
      </c>
      <c r="C863" s="6" t="n">
        <v>652.63</v>
      </c>
      <c r="D863" s="2" t="s">
        <v>394</v>
      </c>
      <c r="E863" s="2"/>
      <c r="F863" s="2"/>
      <c r="G863" s="6" t="s">
        <f>=A863-A862</f>
      </c>
      <c r="H863" s="6" t="s">
        <f>=B863+H862</f>
      </c>
      <c r="I863" s="6" t="s">
        <f>=G863*H862</f>
      </c>
    </row>
    <row collapsed="false" customFormat="false" customHeight="false" hidden="false" ht="12.1" outlineLevel="0" r="864">
      <c r="A864" s="14" t="n">
        <v>45751.463171296</v>
      </c>
      <c r="B864" s="6" t="n">
        <v>6.98</v>
      </c>
      <c r="C864" s="6" t="n">
        <v>6.98</v>
      </c>
      <c r="D864" s="2" t="s">
        <v>341</v>
      </c>
      <c r="E864" s="2"/>
      <c r="F864" s="2"/>
      <c r="G864" s="6" t="s">
        <f>=A864-A863</f>
      </c>
      <c r="H864" s="6" t="s">
        <f>=B864+H863</f>
      </c>
      <c r="I864" s="6" t="s">
        <f>=G864*H863</f>
      </c>
    </row>
    <row collapsed="false" customFormat="false" customHeight="false" hidden="false" ht="12.1" outlineLevel="0" r="865">
      <c r="A865" s="14" t="n">
        <v>45751.535983796</v>
      </c>
      <c r="B865" s="6" t="n">
        <v>5000</v>
      </c>
      <c r="C865" s="6" t="n">
        <v>5000</v>
      </c>
      <c r="D865" s="2" t="s">
        <v>336</v>
      </c>
      <c r="E865" s="2"/>
      <c r="F865" s="2"/>
      <c r="G865" s="6" t="s">
        <f>=A865-A864</f>
      </c>
      <c r="H865" s="6" t="s">
        <f>=B865+H864</f>
      </c>
      <c r="I865" s="6" t="s">
        <f>=G865*H864</f>
      </c>
    </row>
    <row collapsed="false" customFormat="false" customHeight="false" hidden="false" ht="12.1" outlineLevel="0" r="866">
      <c r="A866" s="14" t="n">
        <v>45751.536099537</v>
      </c>
      <c r="B866" s="6" t="n">
        <v>6820</v>
      </c>
      <c r="C866" s="6" t="n">
        <v>6820</v>
      </c>
      <c r="D866" s="2" t="s">
        <v>336</v>
      </c>
      <c r="E866" s="2"/>
      <c r="F866" s="2"/>
      <c r="G866" s="6" t="s">
        <f>=A866-A865</f>
      </c>
      <c r="H866" s="6" t="s">
        <f>=B866+H865</f>
      </c>
      <c r="I866" s="6" t="s">
        <f>=G866*H865</f>
      </c>
    </row>
    <row collapsed="false" customFormat="false" customHeight="false" hidden="false" ht="12.1" outlineLevel="0" r="867">
      <c r="A867" s="14" t="n">
        <v>45753</v>
      </c>
      <c r="B867" s="6" t="n">
        <v>-18.76</v>
      </c>
      <c r="C867" s="6" t="n">
        <v>-18.76</v>
      </c>
      <c r="D867" s="2" t="s">
        <v>704</v>
      </c>
      <c r="E867" s="2"/>
      <c r="F867" s="2"/>
      <c r="G867" s="6" t="s">
        <f>=A867-A866</f>
      </c>
      <c r="H867" s="6" t="s">
        <f>=B867+H866</f>
      </c>
      <c r="I867" s="6" t="s">
        <f>=G867*H866</f>
      </c>
    </row>
    <row collapsed="false" customFormat="false" customHeight="false" hidden="false" ht="12.1" outlineLevel="0" r="868">
      <c r="A868" s="14" t="n">
        <v>45756</v>
      </c>
      <c r="B868" s="6" t="n">
        <v>-179.52</v>
      </c>
      <c r="C868" s="6" t="n">
        <v>-179.52</v>
      </c>
      <c r="D868" s="2" t="s">
        <v>705</v>
      </c>
      <c r="E868" s="2"/>
      <c r="F868" s="2"/>
      <c r="G868" s="6" t="s">
        <f>=A868-A867</f>
      </c>
      <c r="H868" s="6" t="s">
        <f>=B868+H867</f>
      </c>
      <c r="I868" s="6" t="s">
        <f>=G868*H867</f>
      </c>
    </row>
    <row collapsed="false" customFormat="false" customHeight="false" hidden="false" ht="12.1" outlineLevel="0" r="869">
      <c r="A869" s="14" t="n">
        <v>45756</v>
      </c>
      <c r="B869" s="6" t="n">
        <v>-450.75</v>
      </c>
      <c r="C869" s="6" t="n">
        <v>-450.75</v>
      </c>
      <c r="D869" s="2" t="s">
        <v>706</v>
      </c>
      <c r="E869" s="2"/>
      <c r="F869" s="2"/>
      <c r="G869" s="6" t="s">
        <f>=A869-A868</f>
      </c>
      <c r="H869" s="6" t="s">
        <f>=B869+H868</f>
      </c>
      <c r="I869" s="6" t="s">
        <f>=G869*H868</f>
      </c>
    </row>
    <row collapsed="false" customFormat="false" customHeight="false" hidden="false" ht="12.1" outlineLevel="0" r="870">
      <c r="A870" s="14" t="n">
        <v>45757</v>
      </c>
      <c r="B870" s="6" t="n">
        <v>179.52</v>
      </c>
      <c r="C870" s="6" t="n">
        <v>179.52</v>
      </c>
      <c r="D870" s="2" t="s">
        <v>707</v>
      </c>
      <c r="E870" s="2"/>
      <c r="F870" s="2"/>
      <c r="G870" s="6" t="s">
        <f>=A870-A869</f>
      </c>
      <c r="H870" s="6" t="s">
        <f>=B870+H869</f>
      </c>
      <c r="I870" s="6" t="s">
        <f>=G870*H869</f>
      </c>
    </row>
    <row collapsed="false" customFormat="false" customHeight="false" hidden="false" ht="12.1" outlineLevel="0" r="871">
      <c r="A871" s="14" t="n">
        <v>45757.582384259</v>
      </c>
      <c r="B871" s="6" t="n">
        <v>450.75</v>
      </c>
      <c r="C871" s="6" t="n">
        <v>450.75</v>
      </c>
      <c r="D871" s="2" t="s">
        <v>396</v>
      </c>
      <c r="E871" s="2"/>
      <c r="F871" s="2"/>
      <c r="G871" s="6" t="s">
        <f>=A871-A870</f>
      </c>
      <c r="H871" s="6" t="s">
        <f>=B871+H870</f>
      </c>
      <c r="I871" s="6" t="s">
        <f>=G871*H870</f>
      </c>
    </row>
    <row collapsed="false" customFormat="false" customHeight="false" hidden="false" ht="12.1" outlineLevel="0" r="872">
      <c r="A872" s="14" t="n">
        <v>45762</v>
      </c>
      <c r="B872" s="6" t="n">
        <v>-18.84</v>
      </c>
      <c r="C872" s="6" t="n">
        <v>-18.84</v>
      </c>
      <c r="D872" s="2" t="s">
        <v>708</v>
      </c>
      <c r="E872" s="2"/>
      <c r="F872" s="2"/>
      <c r="G872" s="6" t="s">
        <f>=A872-A871</f>
      </c>
      <c r="H872" s="6" t="s">
        <f>=B872+H871</f>
      </c>
      <c r="I872" s="6" t="s">
        <f>=G872*H871</f>
      </c>
    </row>
    <row collapsed="false" customFormat="false" customHeight="false" hidden="false" ht="12.1" outlineLevel="0" r="873">
      <c r="A873" s="14" t="n">
        <v>45762</v>
      </c>
      <c r="B873" s="6" t="n">
        <v>-24.93</v>
      </c>
      <c r="C873" s="6" t="n">
        <v>-24.93</v>
      </c>
      <c r="D873" s="2" t="s">
        <v>709</v>
      </c>
      <c r="E873" s="2"/>
      <c r="F873" s="2"/>
      <c r="G873" s="6" t="s">
        <f>=A873-A872</f>
      </c>
      <c r="H873" s="6" t="s">
        <f>=B873+H872</f>
      </c>
      <c r="I873" s="6" t="s">
        <f>=G873*H872</f>
      </c>
    </row>
    <row collapsed="false" customFormat="false" customHeight="false" hidden="false" ht="12.1" outlineLevel="0" r="874">
      <c r="A874" s="14" t="n">
        <v>45763</v>
      </c>
      <c r="B874" s="6" t="n">
        <v>-495.95</v>
      </c>
      <c r="C874" s="6" t="n">
        <v>-495.95</v>
      </c>
      <c r="D874" s="2" t="s">
        <v>710</v>
      </c>
      <c r="E874" s="2"/>
      <c r="F874" s="2"/>
      <c r="G874" s="6" t="s">
        <f>=A874-A873</f>
      </c>
      <c r="H874" s="6" t="s">
        <f>=B874+H873</f>
      </c>
      <c r="I874" s="6" t="s">
        <f>=G874*H873</f>
      </c>
    </row>
    <row collapsed="false" customFormat="false" customHeight="false" hidden="false" ht="12.1" outlineLevel="0" r="875">
      <c r="A875" s="14" t="n">
        <v>45763</v>
      </c>
      <c r="B875" s="6" t="n">
        <v>-26.18</v>
      </c>
      <c r="C875" s="6" t="n">
        <v>-26.18</v>
      </c>
      <c r="D875" s="2" t="s">
        <v>613</v>
      </c>
      <c r="E875" s="2"/>
      <c r="F875" s="2"/>
      <c r="G875" s="6" t="s">
        <f>=A875-A874</f>
      </c>
      <c r="H875" s="6" t="s">
        <f>=B875+H874</f>
      </c>
      <c r="I875" s="6" t="s">
        <f>=G875*H874</f>
      </c>
    </row>
    <row collapsed="false" customFormat="false" customHeight="false" hidden="false" ht="12.1" outlineLevel="0" r="876">
      <c r="A876" s="14" t="n">
        <v>45763</v>
      </c>
      <c r="B876" s="6" t="n">
        <v>-97.23</v>
      </c>
      <c r="C876" s="6" t="n">
        <v>-97.23</v>
      </c>
      <c r="D876" s="2" t="s">
        <v>711</v>
      </c>
      <c r="E876" s="2"/>
      <c r="F876" s="2"/>
      <c r="G876" s="6" t="s">
        <f>=A876-A875</f>
      </c>
      <c r="H876" s="6" t="s">
        <f>=B876+H875</f>
      </c>
      <c r="I876" s="6" t="s">
        <f>=G876*H875</f>
      </c>
    </row>
    <row collapsed="false" customFormat="false" customHeight="false" hidden="false" ht="12.1" outlineLevel="0" r="877">
      <c r="A877" s="14" t="n">
        <v>45763.451041667</v>
      </c>
      <c r="B877" s="6" t="n">
        <v>18.84</v>
      </c>
      <c r="C877" s="6" t="n">
        <v>18.84</v>
      </c>
      <c r="D877" s="2" t="s">
        <v>712</v>
      </c>
      <c r="E877" s="2"/>
      <c r="F877" s="2"/>
      <c r="G877" s="6" t="s">
        <f>=A877-A876</f>
      </c>
      <c r="H877" s="6" t="s">
        <f>=B877+H876</f>
      </c>
      <c r="I877" s="6" t="s">
        <f>=G877*H876</f>
      </c>
    </row>
    <row collapsed="false" customFormat="false" customHeight="false" hidden="false" ht="12.1" outlineLevel="0" r="878">
      <c r="A878" s="14" t="n">
        <v>45763.500266204</v>
      </c>
      <c r="B878" s="6" t="n">
        <v>24.93</v>
      </c>
      <c r="C878" s="6" t="n">
        <v>24.93</v>
      </c>
      <c r="D878" s="2" t="s">
        <v>713</v>
      </c>
      <c r="E878" s="2"/>
      <c r="F878" s="2"/>
      <c r="G878" s="6" t="s">
        <f>=A878-A877</f>
      </c>
      <c r="H878" s="6" t="s">
        <f>=B878+H877</f>
      </c>
      <c r="I878" s="6" t="s">
        <f>=G878*H877</f>
      </c>
    </row>
    <row collapsed="false" customFormat="false" customHeight="false" hidden="false" ht="12.1" outlineLevel="0" r="879">
      <c r="A879" s="14" t="n">
        <v>45764.457511574</v>
      </c>
      <c r="B879" s="6" t="n">
        <v>97.23</v>
      </c>
      <c r="C879" s="6" t="n">
        <v>97.23</v>
      </c>
      <c r="D879" s="2" t="s">
        <v>714</v>
      </c>
      <c r="E879" s="2"/>
      <c r="F879" s="2"/>
      <c r="G879" s="6" t="s">
        <f>=A879-A878</f>
      </c>
      <c r="H879" s="6" t="s">
        <f>=B879+H878</f>
      </c>
      <c r="I879" s="6" t="s">
        <f>=G879*H878</f>
      </c>
    </row>
    <row collapsed="false" customFormat="false" customHeight="false" hidden="false" ht="12.1" outlineLevel="0" r="880">
      <c r="A880" s="14" t="n">
        <v>45764.484247685</v>
      </c>
      <c r="B880" s="6" t="n">
        <v>495.95</v>
      </c>
      <c r="C880" s="6" t="n">
        <v>495.95</v>
      </c>
      <c r="D880" s="2" t="s">
        <v>455</v>
      </c>
      <c r="E880" s="2"/>
      <c r="F880" s="2"/>
      <c r="G880" s="6" t="s">
        <f>=A880-A879</f>
      </c>
      <c r="H880" s="6" t="s">
        <f>=B880+H879</f>
      </c>
      <c r="I880" s="6" t="s">
        <f>=G880*H879</f>
      </c>
    </row>
    <row collapsed="false" customFormat="false" customHeight="false" hidden="false" ht="12.1" outlineLevel="0" r="881">
      <c r="A881" s="14" t="n">
        <v>45764.582511574</v>
      </c>
      <c r="B881" s="6" t="n">
        <v>26.18</v>
      </c>
      <c r="C881" s="6" t="n">
        <v>26.18</v>
      </c>
      <c r="D881" s="2" t="s">
        <v>615</v>
      </c>
      <c r="E881" s="2"/>
      <c r="F881" s="2"/>
      <c r="G881" s="6" t="s">
        <f>=A881-A880</f>
      </c>
      <c r="H881" s="6" t="s">
        <f>=B881+H880</f>
      </c>
      <c r="I881" s="6" t="s">
        <f>=G881*H880</f>
      </c>
    </row>
    <row collapsed="false" customFormat="false" customHeight="false" hidden="false" ht="12.1" outlineLevel="0" r="882">
      <c r="A882" s="14" t="n">
        <v>45768</v>
      </c>
      <c r="B882" s="6" t="n">
        <v>-165</v>
      </c>
      <c r="C882" s="6" t="n">
        <v>-165</v>
      </c>
      <c r="D882" s="2" t="s">
        <v>660</v>
      </c>
      <c r="E882" s="2"/>
      <c r="F882" s="2"/>
      <c r="G882" s="6" t="s">
        <f>=A882-A881</f>
      </c>
      <c r="H882" s="6" t="s">
        <f>=B882+H881</f>
      </c>
      <c r="I882" s="6" t="s">
        <f>=G882*H881</f>
      </c>
    </row>
    <row collapsed="false" customFormat="false" customHeight="false" hidden="false" ht="12.1" outlineLevel="0" r="883">
      <c r="A883" s="14" t="n">
        <v>45769</v>
      </c>
      <c r="B883" s="6" t="n">
        <v>-28.62</v>
      </c>
      <c r="C883" s="6" t="n">
        <v>-28.62</v>
      </c>
      <c r="D883" s="2" t="s">
        <v>715</v>
      </c>
      <c r="E883" s="2"/>
      <c r="F883" s="2"/>
      <c r="G883" s="6" t="s">
        <f>=A883-A882</f>
      </c>
      <c r="H883" s="6" t="s">
        <f>=B883+H882</f>
      </c>
      <c r="I883" s="6" t="s">
        <f>=G883*H882</f>
      </c>
    </row>
    <row collapsed="false" customFormat="false" customHeight="false" hidden="false" ht="12.1" outlineLevel="0" r="884">
      <c r="A884" s="14" t="n">
        <v>45770</v>
      </c>
      <c r="B884" s="6" t="n">
        <v>-11.18</v>
      </c>
      <c r="C884" s="6" t="n">
        <v>-11.18</v>
      </c>
      <c r="D884" s="2" t="s">
        <v>598</v>
      </c>
      <c r="E884" s="2"/>
      <c r="F884" s="2"/>
      <c r="G884" s="6" t="s">
        <f>=A884-A883</f>
      </c>
      <c r="H884" s="6" t="s">
        <f>=B884+H883</f>
      </c>
      <c r="I884" s="6" t="s">
        <f>=G884*H883</f>
      </c>
    </row>
    <row collapsed="false" customFormat="false" customHeight="false" hidden="false" ht="12.1" outlineLevel="0" r="885">
      <c r="A885" s="14" t="n">
        <v>45770</v>
      </c>
      <c r="B885" s="6" t="n">
        <v>-56.52</v>
      </c>
      <c r="C885" s="6" t="n">
        <v>-56.52</v>
      </c>
      <c r="D885" s="2" t="s">
        <v>716</v>
      </c>
      <c r="E885" s="2"/>
      <c r="F885" s="2"/>
      <c r="G885" s="6" t="s">
        <f>=A885-A884</f>
      </c>
      <c r="H885" s="6" t="s">
        <f>=B885+H884</f>
      </c>
      <c r="I885" s="6" t="s">
        <f>=G885*H884</f>
      </c>
    </row>
    <row collapsed="false" customFormat="false" customHeight="false" hidden="false" ht="12.1" outlineLevel="0" r="886">
      <c r="A886" s="14" t="n">
        <v>45770.430740741</v>
      </c>
      <c r="B886" s="6" t="n">
        <v>28.62</v>
      </c>
      <c r="C886" s="6" t="n">
        <v>28.62</v>
      </c>
      <c r="D886" s="2" t="s">
        <v>488</v>
      </c>
      <c r="E886" s="2"/>
      <c r="F886" s="2"/>
      <c r="G886" s="6" t="s">
        <f>=A886-A885</f>
      </c>
      <c r="H886" s="6" t="s">
        <f>=B886+H885</f>
      </c>
      <c r="I886" s="6" t="s">
        <f>=G886*H885</f>
      </c>
    </row>
    <row collapsed="false" customFormat="false" customHeight="false" hidden="false" ht="12.1" outlineLevel="0" r="887">
      <c r="A887" s="14" t="n">
        <v>45770.43212963</v>
      </c>
      <c r="B887" s="6" t="n">
        <v>165</v>
      </c>
      <c r="C887" s="6" t="n">
        <v>165</v>
      </c>
      <c r="D887" s="2" t="s">
        <v>664</v>
      </c>
      <c r="E887" s="2"/>
      <c r="F887" s="2"/>
      <c r="G887" s="6" t="s">
        <f>=A887-A886</f>
      </c>
      <c r="H887" s="6" t="s">
        <f>=B887+H886</f>
      </c>
      <c r="I887" s="6" t="s">
        <f>=G887*H886</f>
      </c>
    </row>
    <row collapsed="false" customFormat="false" customHeight="false" hidden="false" ht="12.1" outlineLevel="0" r="888">
      <c r="A888" s="14" t="n">
        <v>45771.417974537</v>
      </c>
      <c r="B888" s="6" t="n">
        <v>56.52</v>
      </c>
      <c r="C888" s="6" t="n">
        <v>56.52</v>
      </c>
      <c r="D888" s="2" t="s">
        <v>459</v>
      </c>
      <c r="E888" s="2"/>
      <c r="F888" s="2"/>
      <c r="G888" s="6" t="s">
        <f>=A888-A887</f>
      </c>
      <c r="H888" s="6" t="s">
        <f>=B888+H887</f>
      </c>
      <c r="I888" s="6" t="s">
        <f>=G888*H887</f>
      </c>
    </row>
    <row collapsed="false" customFormat="false" customHeight="false" hidden="false" ht="12.1" outlineLevel="0" r="889">
      <c r="A889" s="14" t="n">
        <v>45771.432488426</v>
      </c>
      <c r="B889" s="6" t="n">
        <v>11.18</v>
      </c>
      <c r="C889" s="6" t="n">
        <v>11.18</v>
      </c>
      <c r="D889" s="2" t="s">
        <v>602</v>
      </c>
      <c r="E889" s="2"/>
      <c r="F889" s="2"/>
      <c r="G889" s="6" t="s">
        <f>=A889-A888</f>
      </c>
      <c r="H889" s="6" t="s">
        <f>=B889+H888</f>
      </c>
      <c r="I889" s="6" t="s">
        <f>=G889*H888</f>
      </c>
    </row>
    <row collapsed="false" customFormat="false" customHeight="false" hidden="false" ht="12.1" outlineLevel="0" r="890">
      <c r="A890" s="14" t="n">
        <v>45772</v>
      </c>
      <c r="B890" s="6" t="n">
        <v>-730</v>
      </c>
      <c r="C890" s="6" t="n">
        <v>-730</v>
      </c>
      <c r="D890" s="2" t="s">
        <v>717</v>
      </c>
      <c r="E890" s="2"/>
      <c r="F890" s="2"/>
      <c r="G890" s="6" t="s">
        <f>=A890-A889</f>
      </c>
      <c r="H890" s="6" t="s">
        <f>=B890+H889</f>
      </c>
      <c r="I890" s="6" t="s">
        <f>=G890*H889</f>
      </c>
    </row>
    <row collapsed="false" customFormat="false" customHeight="false" hidden="false" ht="12.1" outlineLevel="0" r="891">
      <c r="A891" s="14" t="n">
        <v>45772</v>
      </c>
      <c r="B891" s="6" t="n">
        <v>-36.32</v>
      </c>
      <c r="C891" s="6" t="n">
        <v>-36.32</v>
      </c>
      <c r="D891" s="2" t="s">
        <v>655</v>
      </c>
      <c r="E891" s="2"/>
      <c r="F891" s="2"/>
      <c r="G891" s="6" t="s">
        <f>=A891-A890</f>
      </c>
      <c r="H891" s="6" t="s">
        <f>=B891+H890</f>
      </c>
      <c r="I891" s="6" t="s">
        <f>=G891*H890</f>
      </c>
    </row>
    <row collapsed="false" customFormat="false" customHeight="false" hidden="false" ht="12.1" outlineLevel="0" r="892">
      <c r="A892" s="14" t="n">
        <v>45775</v>
      </c>
      <c r="B892" s="6" t="n">
        <v>-46.65</v>
      </c>
      <c r="C892" s="6" t="n">
        <v>-46.65</v>
      </c>
      <c r="D892" s="2" t="s">
        <v>718</v>
      </c>
      <c r="E892" s="2"/>
      <c r="F892" s="2"/>
      <c r="G892" s="6" t="s">
        <f>=A892-A891</f>
      </c>
      <c r="H892" s="6" t="s">
        <f>=B892+H891</f>
      </c>
      <c r="I892" s="6" t="s">
        <f>=G892*H891</f>
      </c>
    </row>
    <row collapsed="false" customFormat="false" customHeight="false" hidden="false" ht="12.1" outlineLevel="0" r="893">
      <c r="A893" s="14" t="n">
        <v>45775</v>
      </c>
      <c r="B893" s="6" t="n">
        <v>-19.17</v>
      </c>
      <c r="C893" s="6" t="n">
        <v>-19.17</v>
      </c>
      <c r="D893" s="2" t="s">
        <v>719</v>
      </c>
      <c r="E893" s="2"/>
      <c r="F893" s="2"/>
      <c r="G893" s="6" t="s">
        <f>=A893-A892</f>
      </c>
      <c r="H893" s="6" t="s">
        <f>=B893+H892</f>
      </c>
      <c r="I893" s="6" t="s">
        <f>=G893*H892</f>
      </c>
    </row>
    <row collapsed="false" customFormat="false" customHeight="false" hidden="false" ht="12.1" outlineLevel="0" r="894">
      <c r="A894" s="14" t="n">
        <v>45775.485520833</v>
      </c>
      <c r="B894" s="6" t="n">
        <v>36.32</v>
      </c>
      <c r="C894" s="6" t="n">
        <v>36.32</v>
      </c>
      <c r="D894" s="2" t="s">
        <v>576</v>
      </c>
      <c r="E894" s="2"/>
      <c r="F894" s="2"/>
      <c r="G894" s="6" t="s">
        <f>=A894-A893</f>
      </c>
      <c r="H894" s="6" t="s">
        <f>=B894+H893</f>
      </c>
      <c r="I894" s="6" t="s">
        <f>=G894*H893</f>
      </c>
    </row>
    <row collapsed="false" customFormat="false" customHeight="false" hidden="false" ht="12.1" outlineLevel="0" r="895">
      <c r="A895" s="14" t="n">
        <v>45776</v>
      </c>
      <c r="B895" s="6" t="n">
        <v>-28.22</v>
      </c>
      <c r="C895" s="6" t="n">
        <v>-28.22</v>
      </c>
      <c r="D895" s="2" t="s">
        <v>373</v>
      </c>
      <c r="E895" s="2"/>
      <c r="F895" s="2"/>
      <c r="G895" s="6" t="s">
        <f>=A895-A894</f>
      </c>
      <c r="H895" s="6" t="s">
        <f>=B895+H894</f>
      </c>
      <c r="I895" s="6" t="s">
        <f>=G895*H894</f>
      </c>
    </row>
    <row collapsed="false" customFormat="false" customHeight="false" hidden="false" ht="12.1" outlineLevel="0" r="896">
      <c r="A896" s="14" t="n">
        <v>45776</v>
      </c>
      <c r="B896" s="6" t="n">
        <v>-58.34</v>
      </c>
      <c r="C896" s="6" t="n">
        <v>-58.34</v>
      </c>
      <c r="D896" s="2" t="s">
        <v>621</v>
      </c>
      <c r="E896" s="2"/>
      <c r="F896" s="2"/>
      <c r="G896" s="6" t="s">
        <f>=A896-A895</f>
      </c>
      <c r="H896" s="6" t="s">
        <f>=B896+H895</f>
      </c>
      <c r="I896" s="6" t="s">
        <f>=G896*H895</f>
      </c>
    </row>
    <row collapsed="false" customFormat="false" customHeight="false" hidden="false" ht="12.1" outlineLevel="0" r="897">
      <c r="A897" s="14" t="n">
        <v>45776.445740741</v>
      </c>
      <c r="B897" s="6" t="n">
        <v>11600</v>
      </c>
      <c r="C897" s="6" t="n">
        <v>11600</v>
      </c>
      <c r="D897" s="2" t="s">
        <v>336</v>
      </c>
      <c r="E897" s="2"/>
      <c r="F897" s="2"/>
      <c r="G897" s="6" t="s">
        <f>=A897-A896</f>
      </c>
      <c r="H897" s="6" t="s">
        <f>=B897+H896</f>
      </c>
      <c r="I897" s="6" t="s">
        <f>=G897*H896</f>
      </c>
    </row>
    <row collapsed="false" customFormat="false" customHeight="false" hidden="false" ht="12.1" outlineLevel="0" r="898">
      <c r="A898" s="14" t="n">
        <v>45776.506759259</v>
      </c>
      <c r="B898" s="6" t="n">
        <v>19.17</v>
      </c>
      <c r="C898" s="6" t="n">
        <v>19.17</v>
      </c>
      <c r="D898" s="2" t="s">
        <v>506</v>
      </c>
      <c r="E898" s="2"/>
      <c r="F898" s="2"/>
      <c r="G898" s="6" t="s">
        <f>=A898-A897</f>
      </c>
      <c r="H898" s="6" t="s">
        <f>=B898+H897</f>
      </c>
      <c r="I898" s="6" t="s">
        <f>=G898*H897</f>
      </c>
    </row>
    <row collapsed="false" customFormat="false" customHeight="false" hidden="false" ht="12.1" outlineLevel="0" r="899">
      <c r="A899" s="14" t="n">
        <v>45776.529143519</v>
      </c>
      <c r="B899" s="6" t="n">
        <v>730</v>
      </c>
      <c r="C899" s="6" t="n">
        <v>730</v>
      </c>
      <c r="D899" s="2" t="s">
        <v>720</v>
      </c>
      <c r="E899" s="2"/>
      <c r="F899" s="2"/>
      <c r="G899" s="6" t="s">
        <f>=A899-A898</f>
      </c>
      <c r="H899" s="6" t="s">
        <f>=B899+H898</f>
      </c>
      <c r="I899" s="6" t="s">
        <f>=G899*H898</f>
      </c>
    </row>
    <row collapsed="false" customFormat="false" customHeight="false" hidden="false" ht="12.1" outlineLevel="0" r="900">
      <c r="A900" s="14" t="n">
        <v>45777</v>
      </c>
      <c r="B900" s="6" t="n">
        <v>-1000</v>
      </c>
      <c r="C900" s="6" t="n">
        <v>-1000</v>
      </c>
      <c r="D900" s="2" t="s">
        <v>721</v>
      </c>
      <c r="E900" s="2"/>
      <c r="F900" s="2"/>
      <c r="G900" s="6" t="s">
        <f>=A900-A899</f>
      </c>
      <c r="H900" s="6" t="s">
        <f>=B900+H899</f>
      </c>
      <c r="I900" s="6" t="s">
        <f>=G900*H899</f>
      </c>
    </row>
    <row collapsed="false" customFormat="false" customHeight="false" hidden="false" ht="12.1" outlineLevel="0" r="901">
      <c r="A901" s="14" t="n">
        <v>45777</v>
      </c>
      <c r="B901" s="6" t="n">
        <v>-52.59</v>
      </c>
      <c r="C901" s="6" t="n">
        <v>-52.59</v>
      </c>
      <c r="D901" s="2" t="s">
        <v>722</v>
      </c>
      <c r="E901" s="2"/>
      <c r="F901" s="2"/>
      <c r="G901" s="6" t="s">
        <f>=A901-A900</f>
      </c>
      <c r="H901" s="6" t="s">
        <f>=B901+H900</f>
      </c>
      <c r="I901" s="6" t="s">
        <f>=G901*H900</f>
      </c>
    </row>
    <row collapsed="false" customFormat="false" customHeight="false" hidden="false" ht="12.1" outlineLevel="0" r="902">
      <c r="A902" s="14" t="n">
        <v>45777.462719907</v>
      </c>
      <c r="B902" s="6" t="n">
        <v>58.34</v>
      </c>
      <c r="C902" s="6" t="n">
        <v>58.34</v>
      </c>
      <c r="D902" s="2" t="s">
        <v>581</v>
      </c>
      <c r="E902" s="2"/>
      <c r="F902" s="2"/>
      <c r="G902" s="6" t="s">
        <f>=A902-A901</f>
      </c>
      <c r="H902" s="6" t="s">
        <f>=B902+H901</f>
      </c>
      <c r="I902" s="6" t="s">
        <f>=G902*H901</f>
      </c>
    </row>
    <row collapsed="false" customFormat="false" customHeight="false" hidden="false" ht="12.1" outlineLevel="0" r="903">
      <c r="A903" s="14" t="n">
        <v>45777.737280093</v>
      </c>
      <c r="B903" s="6" t="n">
        <v>28.22</v>
      </c>
      <c r="C903" s="6" t="n">
        <v>28.22</v>
      </c>
      <c r="D903" s="2" t="s">
        <v>376</v>
      </c>
      <c r="E903" s="2"/>
      <c r="F903" s="2"/>
      <c r="G903" s="6" t="s">
        <f>=A903-A902</f>
      </c>
      <c r="H903" s="6" t="s">
        <f>=B903+H902</f>
      </c>
      <c r="I903" s="6" t="s">
        <f>=G903*H902</f>
      </c>
    </row>
    <row collapsed="false" customFormat="false" customHeight="false" hidden="false" ht="12.1" outlineLevel="0" r="904">
      <c r="A904" s="14" t="n">
        <v>45778</v>
      </c>
      <c r="B904" s="6" t="n">
        <v>-42.38</v>
      </c>
      <c r="C904" s="6" t="n">
        <v>-42.38</v>
      </c>
      <c r="D904" s="2" t="s">
        <v>357</v>
      </c>
      <c r="E904" s="2"/>
      <c r="F904" s="2"/>
      <c r="G904" s="6" t="s">
        <f>=A904-A903</f>
      </c>
      <c r="H904" s="6" t="s">
        <f>=B904+H903</f>
      </c>
      <c r="I904" s="6" t="s">
        <f>=G904*H903</f>
      </c>
    </row>
    <row collapsed="false" customFormat="false" customHeight="false" hidden="false" ht="12.1" outlineLevel="0" r="905">
      <c r="A905" s="14" t="n">
        <v>45778</v>
      </c>
      <c r="B905" s="6" t="n">
        <v>-38.76</v>
      </c>
      <c r="C905" s="6" t="n">
        <v>-38.76</v>
      </c>
      <c r="D905" s="2" t="s">
        <v>723</v>
      </c>
      <c r="E905" s="2"/>
      <c r="F905" s="2"/>
      <c r="G905" s="6" t="s">
        <f>=A905-A904</f>
      </c>
      <c r="H905" s="6" t="s">
        <f>=B905+H904</f>
      </c>
      <c r="I905" s="6" t="s">
        <f>=G905*H904</f>
      </c>
    </row>
    <row collapsed="false" customFormat="false" customHeight="false" hidden="false" ht="12.1" outlineLevel="0" r="906">
      <c r="A906" s="14" t="n">
        <v>45779</v>
      </c>
      <c r="B906" s="6" t="n">
        <v>-23.86</v>
      </c>
      <c r="C906" s="6" t="n">
        <v>-23.86</v>
      </c>
      <c r="D906" s="2" t="s">
        <v>623</v>
      </c>
      <c r="E906" s="2"/>
      <c r="F906" s="2"/>
      <c r="G906" s="6" t="s">
        <f>=A906-A905</f>
      </c>
      <c r="H906" s="6" t="s">
        <f>=B906+H905</f>
      </c>
      <c r="I906" s="6" t="s">
        <f>=G906*H905</f>
      </c>
    </row>
    <row collapsed="false" customFormat="false" customHeight="false" hidden="false" ht="12.1" outlineLevel="0" r="907">
      <c r="A907" s="14" t="n">
        <v>45779</v>
      </c>
      <c r="B907" s="6" t="n">
        <v>-59.19</v>
      </c>
      <c r="C907" s="6" t="n">
        <v>-59.19</v>
      </c>
      <c r="D907" s="2" t="s">
        <v>724</v>
      </c>
      <c r="E907" s="2"/>
      <c r="F907" s="2"/>
      <c r="G907" s="6" t="s">
        <f>=A907-A906</f>
      </c>
      <c r="H907" s="6" t="s">
        <f>=B907+H906</f>
      </c>
      <c r="I907" s="6" t="s">
        <f>=G907*H906</f>
      </c>
    </row>
    <row collapsed="false" customFormat="false" customHeight="false" hidden="false" ht="12.1" outlineLevel="0" r="908">
      <c r="A908" s="14" t="n">
        <v>45782</v>
      </c>
      <c r="B908" s="6" t="n">
        <v>-297.2</v>
      </c>
      <c r="C908" s="6" t="n">
        <v>-297.2</v>
      </c>
      <c r="D908" s="2" t="s">
        <v>725</v>
      </c>
      <c r="E908" s="2"/>
      <c r="F908" s="2"/>
      <c r="G908" s="6" t="s">
        <f>=A908-A907</f>
      </c>
      <c r="H908" s="6" t="s">
        <f>=B908+H907</f>
      </c>
      <c r="I908" s="6" t="s">
        <f>=G908*H907</f>
      </c>
    </row>
    <row collapsed="false" customFormat="false" customHeight="false" hidden="false" ht="12.1" outlineLevel="0" r="909">
      <c r="A909" s="14" t="n">
        <v>45782.473877315</v>
      </c>
      <c r="B909" s="6" t="n">
        <v>52.59</v>
      </c>
      <c r="C909" s="6" t="n">
        <v>52.59</v>
      </c>
      <c r="D909" s="2" t="s">
        <v>461</v>
      </c>
      <c r="E909" s="2"/>
      <c r="F909" s="2"/>
      <c r="G909" s="6" t="s">
        <f>=A909-A908</f>
      </c>
      <c r="H909" s="6" t="s">
        <f>=B909+H908</f>
      </c>
      <c r="I909" s="6" t="s">
        <f>=G909*H908</f>
      </c>
    </row>
    <row collapsed="false" customFormat="false" customHeight="false" hidden="false" ht="12.1" outlineLevel="0" r="910">
      <c r="A910" s="14" t="n">
        <v>45782.723854167</v>
      </c>
      <c r="B910" s="6" t="n">
        <v>42.38</v>
      </c>
      <c r="C910" s="6" t="n">
        <v>42.38</v>
      </c>
      <c r="D910" s="2" t="s">
        <v>358</v>
      </c>
      <c r="E910" s="2"/>
      <c r="F910" s="2"/>
      <c r="G910" s="6" t="s">
        <f>=A910-A909</f>
      </c>
      <c r="H910" s="6" t="s">
        <f>=B910+H909</f>
      </c>
      <c r="I910" s="6" t="s">
        <f>=G910*H909</f>
      </c>
    </row>
    <row collapsed="false" customFormat="false" customHeight="false" hidden="false" ht="12.1" outlineLevel="0" r="911">
      <c r="A911" s="14" t="n">
        <v>45782.739201389</v>
      </c>
      <c r="B911" s="6" t="n">
        <v>1000</v>
      </c>
      <c r="C911" s="6" t="n">
        <v>1000</v>
      </c>
      <c r="D911" s="2" t="s">
        <v>726</v>
      </c>
      <c r="E911" s="2"/>
      <c r="F911" s="2"/>
      <c r="G911" s="6" t="s">
        <f>=A911-A910</f>
      </c>
      <c r="H911" s="6" t="s">
        <f>=B911+H910</f>
      </c>
      <c r="I911" s="6" t="s">
        <f>=G911*H910</f>
      </c>
    </row>
    <row collapsed="false" customFormat="false" customHeight="false" hidden="false" ht="12.1" outlineLevel="0" r="912">
      <c r="A912" s="14" t="n">
        <v>45782.838171296</v>
      </c>
      <c r="B912" s="6" t="n">
        <v>59.19</v>
      </c>
      <c r="C912" s="6" t="n">
        <v>59.19</v>
      </c>
      <c r="D912" s="2" t="s">
        <v>727</v>
      </c>
      <c r="E912" s="2"/>
      <c r="F912" s="2"/>
      <c r="G912" s="6" t="s">
        <f>=A912-A911</f>
      </c>
      <c r="H912" s="6" t="s">
        <f>=B912+H911</f>
      </c>
      <c r="I912" s="6" t="s">
        <f>=G912*H911</f>
      </c>
    </row>
    <row collapsed="false" customFormat="false" customHeight="false" hidden="false" ht="12.1" outlineLevel="0" r="913">
      <c r="A913" s="14" t="n">
        <v>45782.840949074</v>
      </c>
      <c r="B913" s="6" t="n">
        <v>38.76</v>
      </c>
      <c r="C913" s="6" t="n">
        <v>38.76</v>
      </c>
      <c r="D913" s="2" t="s">
        <v>440</v>
      </c>
      <c r="E913" s="2"/>
      <c r="F913" s="2"/>
      <c r="G913" s="6" t="s">
        <f>=A913-A912</f>
      </c>
      <c r="H913" s="6" t="s">
        <f>=B913+H912</f>
      </c>
      <c r="I913" s="6" t="s">
        <f>=G913*H912</f>
      </c>
    </row>
    <row collapsed="false" customFormat="false" customHeight="false" hidden="false" ht="12.1" outlineLevel="0" r="914">
      <c r="A914" s="14" t="n">
        <v>45783.481261574</v>
      </c>
      <c r="B914" s="6" t="n">
        <v>23.86</v>
      </c>
      <c r="C914" s="6" t="n">
        <v>23.86</v>
      </c>
      <c r="D914" s="2" t="s">
        <v>624</v>
      </c>
      <c r="E914" s="2"/>
      <c r="F914" s="2"/>
      <c r="G914" s="6" t="s">
        <f>=A914-A913</f>
      </c>
      <c r="H914" s="6" t="s">
        <f>=B914+H913</f>
      </c>
      <c r="I914" s="6" t="s">
        <f>=G914*H913</f>
      </c>
    </row>
    <row collapsed="false" customFormat="false" customHeight="false" hidden="false" ht="12.1" outlineLevel="0" r="915">
      <c r="A915" s="14" t="n">
        <v>45784</v>
      </c>
      <c r="B915" s="6" t="n">
        <v>-19.24</v>
      </c>
      <c r="C915" s="6" t="n">
        <v>-19.24</v>
      </c>
      <c r="D915" s="2" t="s">
        <v>728</v>
      </c>
      <c r="E915" s="2"/>
      <c r="F915" s="2"/>
      <c r="G915" s="6" t="s">
        <f>=A915-A914</f>
      </c>
      <c r="H915" s="6" t="s">
        <f>=B915+H914</f>
      </c>
      <c r="I915" s="6" t="s">
        <f>=G915*H914</f>
      </c>
    </row>
    <row collapsed="false" customFormat="false" customHeight="false" hidden="false" ht="12.1" outlineLevel="0" r="916">
      <c r="A916" s="14" t="n">
        <v>45785</v>
      </c>
      <c r="B916" s="6" t="n">
        <v>-19.11</v>
      </c>
      <c r="C916" s="6" t="n">
        <v>-19.11</v>
      </c>
      <c r="D916" s="2" t="s">
        <v>729</v>
      </c>
      <c r="E916" s="2"/>
      <c r="F916" s="2"/>
      <c r="G916" s="6" t="s">
        <f>=A916-A915</f>
      </c>
      <c r="H916" s="6" t="s">
        <f>=B916+H915</f>
      </c>
      <c r="I916" s="6" t="s">
        <f>=G916*H915</f>
      </c>
    </row>
    <row collapsed="false" customFormat="false" customHeight="false" hidden="false" ht="12.1" outlineLevel="0" r="917">
      <c r="A917" s="14" t="n">
        <v>45786</v>
      </c>
      <c r="B917" s="6" t="n">
        <v>-90.76</v>
      </c>
      <c r="C917" s="6" t="n">
        <v>-90.76</v>
      </c>
      <c r="D917" s="2" t="s">
        <v>730</v>
      </c>
      <c r="E917" s="2"/>
      <c r="F917" s="2"/>
      <c r="G917" s="6" t="s">
        <f>=A917-A916</f>
      </c>
      <c r="H917" s="6" t="s">
        <f>=B917+H916</f>
      </c>
      <c r="I917" s="6" t="s">
        <f>=G917*H916</f>
      </c>
    </row>
    <row collapsed="false" customFormat="false" customHeight="false" hidden="false" ht="12.1" outlineLevel="0" r="918">
      <c r="A918" s="14" t="n">
        <v>45789.499814815</v>
      </c>
      <c r="B918" s="6" t="n">
        <v>19.24</v>
      </c>
      <c r="C918" s="6" t="n">
        <v>19.24</v>
      </c>
      <c r="D918" s="2" t="s">
        <v>731</v>
      </c>
      <c r="E918" s="2"/>
      <c r="F918" s="2"/>
      <c r="G918" s="6" t="s">
        <f>=A918-A917</f>
      </c>
      <c r="H918" s="6" t="s">
        <f>=B918+H917</f>
      </c>
      <c r="I918" s="6" t="s">
        <f>=G918*H917</f>
      </c>
    </row>
    <row collapsed="false" customFormat="false" customHeight="false" hidden="false" ht="12.1" outlineLevel="0" r="919">
      <c r="A919" s="14" t="n">
        <v>45790.559664352</v>
      </c>
      <c r="B919" s="6" t="n">
        <v>297.2</v>
      </c>
      <c r="C919" s="6" t="n">
        <v>297.2</v>
      </c>
      <c r="D919" s="2" t="s">
        <v>732</v>
      </c>
      <c r="E919" s="2"/>
      <c r="F919" s="2"/>
      <c r="G919" s="6" t="s">
        <f>=A919-A918</f>
      </c>
      <c r="H919" s="6" t="s">
        <f>=B919+H918</f>
      </c>
      <c r="I919" s="6" t="s">
        <f>=G919*H918</f>
      </c>
    </row>
    <row collapsed="false" customFormat="false" customHeight="false" hidden="false" ht="12.1" outlineLevel="0" r="920">
      <c r="A920" s="14" t="n">
        <v>45790.647256944</v>
      </c>
      <c r="B920" s="6" t="n">
        <v>90.76</v>
      </c>
      <c r="C920" s="6" t="n">
        <v>90.76</v>
      </c>
      <c r="D920" s="2" t="s">
        <v>733</v>
      </c>
      <c r="E920" s="2"/>
      <c r="F920" s="2"/>
      <c r="G920" s="6" t="s">
        <f>=A920-A919</f>
      </c>
      <c r="H920" s="6" t="s">
        <f>=B920+H919</f>
      </c>
      <c r="I920" s="6" t="s">
        <f>=G920*H919</f>
      </c>
    </row>
    <row collapsed="false" customFormat="false" customHeight="false" hidden="false" ht="12.1" outlineLevel="0" r="921">
      <c r="A921" s="14" t="n">
        <v>45790.675393519</v>
      </c>
      <c r="B921" s="6" t="n">
        <v>19.11</v>
      </c>
      <c r="C921" s="6" t="n">
        <v>19.11</v>
      </c>
      <c r="D921" s="2" t="s">
        <v>734</v>
      </c>
      <c r="E921" s="2"/>
      <c r="F921" s="2"/>
      <c r="G921" s="6" t="s">
        <f>=A921-A920</f>
      </c>
      <c r="H921" s="6" t="s">
        <f>=B921+H920</f>
      </c>
      <c r="I921" s="6" t="s">
        <f>=G921*H920</f>
      </c>
    </row>
    <row collapsed="false" customFormat="false" customHeight="false" hidden="false" ht="12.1" outlineLevel="0" r="922">
      <c r="A922" s="14" t="n">
        <v>45791</v>
      </c>
      <c r="B922" s="6" t="n">
        <v>-4.67</v>
      </c>
      <c r="C922" s="6" t="n">
        <v>-4.67</v>
      </c>
      <c r="D922" s="2" t="s">
        <v>527</v>
      </c>
      <c r="E922" s="2"/>
      <c r="F922" s="2"/>
      <c r="G922" s="6" t="s">
        <f>=A922-A921</f>
      </c>
      <c r="H922" s="6" t="s">
        <f>=B922+H921</f>
      </c>
      <c r="I922" s="6" t="s">
        <f>=G922*H921</f>
      </c>
    </row>
    <row collapsed="false" customFormat="false" customHeight="false" hidden="false" ht="12.1" outlineLevel="0" r="923">
      <c r="A923" s="14" t="n">
        <v>45791</v>
      </c>
      <c r="B923" s="6" t="n">
        <v>-1033.89</v>
      </c>
      <c r="C923" s="6" t="n">
        <v>-1033.89</v>
      </c>
      <c r="D923" s="2" t="s">
        <v>735</v>
      </c>
      <c r="E923" s="2"/>
      <c r="F923" s="2"/>
      <c r="G923" s="6" t="s">
        <f>=A923-A922</f>
      </c>
      <c r="H923" s="6" t="s">
        <f>=B923+H922</f>
      </c>
      <c r="I923" s="6" t="s">
        <f>=G923*H922</f>
      </c>
    </row>
    <row collapsed="false" customFormat="false" customHeight="false" hidden="false" ht="12.1" outlineLevel="0" r="924">
      <c r="A924" s="14" t="n">
        <v>45792.482314815</v>
      </c>
      <c r="B924" s="6" t="n">
        <v>4.67</v>
      </c>
      <c r="C924" s="6" t="n">
        <v>4.67</v>
      </c>
      <c r="D924" s="2" t="s">
        <v>529</v>
      </c>
      <c r="E924" s="2"/>
      <c r="F924" s="2"/>
      <c r="G924" s="6" t="s">
        <f>=A924-A923</f>
      </c>
      <c r="H924" s="6" t="s">
        <f>=B924+H923</f>
      </c>
      <c r="I924" s="6" t="s">
        <f>=G924*H923</f>
      </c>
    </row>
    <row collapsed="false" customFormat="false" customHeight="false" hidden="false" ht="12.1" outlineLevel="0" r="925">
      <c r="A925" s="14" t="n">
        <v>45792.495636574</v>
      </c>
      <c r="B925" s="6" t="n">
        <v>1033.89</v>
      </c>
      <c r="C925" s="6" t="n">
        <v>1033.89</v>
      </c>
      <c r="D925" s="2" t="s">
        <v>360</v>
      </c>
      <c r="E925" s="2"/>
      <c r="F925" s="2"/>
      <c r="G925" s="6" t="s">
        <f>=A925-A924</f>
      </c>
      <c r="H925" s="6" t="s">
        <f>=B925+H924</f>
      </c>
      <c r="I925" s="6" t="s">
        <f>=G925*H924</f>
      </c>
    </row>
    <row collapsed="false" customFormat="false" customHeight="false" hidden="false" ht="12.1" outlineLevel="0" r="926">
      <c r="A926" s="14" t="n">
        <v>45793</v>
      </c>
      <c r="B926" s="6" t="n">
        <v>-19.21</v>
      </c>
      <c r="C926" s="6" t="n">
        <v>-19.21</v>
      </c>
      <c r="D926" s="2" t="s">
        <v>736</v>
      </c>
      <c r="E926" s="2"/>
      <c r="F926" s="2"/>
      <c r="G926" s="6" t="s">
        <f>=A926-A925</f>
      </c>
      <c r="H926" s="6" t="s">
        <f>=B926+H925</f>
      </c>
      <c r="I926" s="6" t="s">
        <f>=G926*H925</f>
      </c>
    </row>
    <row collapsed="false" customFormat="false" customHeight="false" hidden="false" ht="12.1" outlineLevel="0" r="927">
      <c r="A927" s="14" t="n">
        <v>45793</v>
      </c>
      <c r="B927" s="6" t="n">
        <v>-192</v>
      </c>
      <c r="C927" s="6" t="n">
        <v>-192</v>
      </c>
      <c r="D927" s="2" t="s">
        <v>737</v>
      </c>
      <c r="E927" s="2"/>
      <c r="F927" s="2"/>
      <c r="G927" s="6" t="s">
        <f>=A927-A926</f>
      </c>
      <c r="H927" s="6" t="s">
        <f>=B927+H926</f>
      </c>
      <c r="I927" s="6" t="s">
        <f>=G927*H926</f>
      </c>
    </row>
    <row collapsed="false" customFormat="false" customHeight="false" hidden="false" ht="12.1" outlineLevel="0" r="928">
      <c r="A928" s="14" t="n">
        <v>45795</v>
      </c>
      <c r="B928" s="6" t="n">
        <v>-400</v>
      </c>
      <c r="C928" s="6" t="n">
        <v>-400</v>
      </c>
      <c r="D928" s="2" t="s">
        <v>586</v>
      </c>
      <c r="E928" s="2"/>
      <c r="F928" s="2"/>
      <c r="G928" s="6" t="s">
        <f>=A928-A927</f>
      </c>
      <c r="H928" s="6" t="s">
        <f>=B928+H927</f>
      </c>
      <c r="I928" s="6" t="s">
        <f>=G928*H927</f>
      </c>
    </row>
    <row collapsed="false" customFormat="false" customHeight="false" hidden="false" ht="12.1" outlineLevel="0" r="929">
      <c r="A929" s="14" t="n">
        <v>45796</v>
      </c>
      <c r="B929" s="6" t="n">
        <v>-12.96</v>
      </c>
      <c r="C929" s="6" t="n">
        <v>-12.96</v>
      </c>
      <c r="D929" s="2" t="s">
        <v>738</v>
      </c>
      <c r="E929" s="2"/>
      <c r="F929" s="2"/>
      <c r="G929" s="6" t="s">
        <f>=A929-A928</f>
      </c>
      <c r="H929" s="6" t="s">
        <f>=B929+H928</f>
      </c>
      <c r="I929" s="6" t="s">
        <f>=G929*H928</f>
      </c>
    </row>
    <row collapsed="false" customFormat="false" customHeight="false" hidden="false" ht="12.1" outlineLevel="0" r="930">
      <c r="A930" s="14" t="n">
        <v>45796.498935185</v>
      </c>
      <c r="B930" s="6" t="n">
        <v>19.21</v>
      </c>
      <c r="C930" s="6" t="n">
        <v>19.21</v>
      </c>
      <c r="D930" s="2" t="s">
        <v>712</v>
      </c>
      <c r="E930" s="2"/>
      <c r="F930" s="2"/>
      <c r="G930" s="6" t="s">
        <f>=A930-A929</f>
      </c>
      <c r="H930" s="6" t="s">
        <f>=B930+H929</f>
      </c>
      <c r="I930" s="6" t="s">
        <f>=G930*H929</f>
      </c>
    </row>
    <row collapsed="false" customFormat="false" customHeight="false" hidden="false" ht="12.1" outlineLevel="0" r="931">
      <c r="A931" s="14" t="n">
        <v>45796.626712963</v>
      </c>
      <c r="B931" s="6" t="n">
        <v>46.65</v>
      </c>
      <c r="C931" s="6" t="n">
        <v>46.65</v>
      </c>
      <c r="D931" s="2" t="s">
        <v>518</v>
      </c>
      <c r="E931" s="2"/>
      <c r="F931" s="2"/>
      <c r="G931" s="6" t="s">
        <f>=A931-A930</f>
      </c>
      <c r="H931" s="6" t="s">
        <f>=B931+H930</f>
      </c>
      <c r="I931" s="6" t="s">
        <f>=G931*H930</f>
      </c>
    </row>
    <row collapsed="false" customFormat="false" customHeight="false" hidden="false" ht="12.1" outlineLevel="0" r="932">
      <c r="A932" s="14" t="n">
        <v>45797.538773148</v>
      </c>
      <c r="B932" s="6" t="n">
        <v>12.96</v>
      </c>
      <c r="C932" s="6" t="n">
        <v>12.96</v>
      </c>
      <c r="D932" s="2" t="s">
        <v>403</v>
      </c>
      <c r="E932" s="2"/>
      <c r="F932" s="2"/>
      <c r="G932" s="6" t="s">
        <f>=A932-A931</f>
      </c>
      <c r="H932" s="6" t="s">
        <f>=B932+H931</f>
      </c>
      <c r="I932" s="6" t="s">
        <f>=G932*H931</f>
      </c>
    </row>
    <row collapsed="false" customFormat="false" customHeight="false" hidden="false" ht="12.1" outlineLevel="0" r="933">
      <c r="A933" s="14" t="n">
        <v>45797.540092593</v>
      </c>
      <c r="B933" s="6" t="n">
        <v>400</v>
      </c>
      <c r="C933" s="6" t="n">
        <v>400</v>
      </c>
      <c r="D933" s="2" t="s">
        <v>739</v>
      </c>
      <c r="E933" s="2"/>
      <c r="F933" s="2"/>
      <c r="G933" s="6" t="s">
        <f>=A933-A932</f>
      </c>
      <c r="H933" s="6" t="s">
        <f>=B933+H932</f>
      </c>
      <c r="I933" s="6" t="s">
        <f>=G933*H932</f>
      </c>
    </row>
    <row collapsed="false" customFormat="false" customHeight="false" hidden="false" ht="12.1" outlineLevel="0" r="934">
      <c r="A934" s="14" t="n">
        <v>45798</v>
      </c>
      <c r="B934" s="6" t="n">
        <v>-361.5</v>
      </c>
      <c r="C934" s="6" t="n">
        <v>-361.5</v>
      </c>
      <c r="D934" s="2" t="s">
        <v>740</v>
      </c>
      <c r="E934" s="2"/>
      <c r="F934" s="2"/>
      <c r="G934" s="6" t="s">
        <f>=A934-A933</f>
      </c>
      <c r="H934" s="6" t="s">
        <f>=B934+H933</f>
      </c>
      <c r="I934" s="6" t="s">
        <f>=G934*H933</f>
      </c>
    </row>
    <row collapsed="false" customFormat="false" customHeight="false" hidden="false" ht="12.1" outlineLevel="0" r="935">
      <c r="A935" s="14" t="n">
        <v>45798</v>
      </c>
      <c r="B935" s="6" t="n">
        <v>-89.94</v>
      </c>
      <c r="C935" s="6" t="n">
        <v>-89.94</v>
      </c>
      <c r="D935" s="2" t="s">
        <v>741</v>
      </c>
      <c r="E935" s="2"/>
      <c r="F935" s="2"/>
      <c r="G935" s="6" t="s">
        <f>=A935-A934</f>
      </c>
      <c r="H935" s="6" t="s">
        <f>=B935+H934</f>
      </c>
      <c r="I935" s="6" t="s">
        <f>=G935*H934</f>
      </c>
    </row>
    <row collapsed="false" customFormat="false" customHeight="false" hidden="false" ht="12.1" outlineLevel="0" r="936">
      <c r="A936" s="14" t="n">
        <v>45799</v>
      </c>
      <c r="B936" s="6" t="n">
        <v>-6.5</v>
      </c>
      <c r="C936" s="6" t="n">
        <v>-6.5</v>
      </c>
      <c r="D936" s="2" t="s">
        <v>742</v>
      </c>
      <c r="E936" s="2"/>
      <c r="F936" s="2"/>
      <c r="G936" s="6" t="s">
        <f>=A936-A935</f>
      </c>
      <c r="H936" s="6" t="s">
        <f>=B936+H935</f>
      </c>
      <c r="I936" s="6" t="s">
        <f>=G936*H935</f>
      </c>
    </row>
    <row collapsed="false" customFormat="false" customHeight="false" hidden="false" ht="12.1" outlineLevel="0" r="937">
      <c r="A937" s="14" t="n">
        <v>45799</v>
      </c>
      <c r="B937" s="6" t="n">
        <v>-20.96</v>
      </c>
      <c r="C937" s="6" t="n">
        <v>-20.96</v>
      </c>
      <c r="D937" s="2" t="s">
        <v>743</v>
      </c>
      <c r="E937" s="2"/>
      <c r="F937" s="2"/>
      <c r="G937" s="6" t="s">
        <f>=A937-A936</f>
      </c>
      <c r="H937" s="6" t="s">
        <f>=B937+H936</f>
      </c>
      <c r="I937" s="6" t="s">
        <f>=G937*H936</f>
      </c>
    </row>
    <row collapsed="false" customFormat="false" customHeight="false" hidden="false" ht="12.1" outlineLevel="0" r="938">
      <c r="A938" s="14" t="n">
        <v>45799</v>
      </c>
      <c r="B938" s="6" t="n">
        <v>192</v>
      </c>
      <c r="C938" s="6" t="n">
        <v>192</v>
      </c>
      <c r="D938" s="2" t="s">
        <v>744</v>
      </c>
      <c r="E938" s="2"/>
      <c r="F938" s="2"/>
      <c r="G938" s="6" t="s">
        <f>=A938-A937</f>
      </c>
      <c r="H938" s="6" t="s">
        <f>=B938+H937</f>
      </c>
      <c r="I938" s="6" t="s">
        <f>=G938*H937</f>
      </c>
    </row>
    <row collapsed="false" customFormat="false" customHeight="false" hidden="false" ht="12.1" outlineLevel="0" r="939">
      <c r="A939" s="14" t="n">
        <v>45799.507858796</v>
      </c>
      <c r="B939" s="6" t="n">
        <v>89.94</v>
      </c>
      <c r="C939" s="6" t="n">
        <v>89.94</v>
      </c>
      <c r="D939" s="2" t="s">
        <v>466</v>
      </c>
      <c r="E939" s="2"/>
      <c r="F939" s="2"/>
      <c r="G939" s="6" t="s">
        <f>=A939-A938</f>
      </c>
      <c r="H939" s="6" t="s">
        <f>=B939+H938</f>
      </c>
      <c r="I939" s="6" t="s">
        <f>=G939*H938</f>
      </c>
    </row>
    <row collapsed="false" customFormat="false" customHeight="false" hidden="false" ht="12.1" outlineLevel="0" r="940">
      <c r="A940" s="14" t="n">
        <v>45799.572280093</v>
      </c>
      <c r="B940" s="6" t="n">
        <v>361.5</v>
      </c>
      <c r="C940" s="6" t="n">
        <v>361.5</v>
      </c>
      <c r="D940" s="2" t="s">
        <v>364</v>
      </c>
      <c r="E940" s="2"/>
      <c r="F940" s="2"/>
      <c r="G940" s="6" t="s">
        <f>=A940-A939</f>
      </c>
      <c r="H940" s="6" t="s">
        <f>=B940+H939</f>
      </c>
      <c r="I940" s="6" t="s">
        <f>=G940*H939</f>
      </c>
    </row>
    <row collapsed="false" customFormat="false" customHeight="false" hidden="false" ht="12.1" outlineLevel="0" r="941">
      <c r="A941" s="14" t="n">
        <v>45800</v>
      </c>
      <c r="B941" s="6" t="n">
        <v>-11.18</v>
      </c>
      <c r="C941" s="6" t="n">
        <v>-11.18</v>
      </c>
      <c r="D941" s="2" t="s">
        <v>598</v>
      </c>
      <c r="E941" s="2"/>
      <c r="F941" s="2"/>
      <c r="G941" s="6" t="s">
        <f>=A941-A940</f>
      </c>
      <c r="H941" s="6" t="s">
        <f>=B941+H940</f>
      </c>
      <c r="I941" s="6" t="s">
        <f>=G941*H940</f>
      </c>
    </row>
    <row collapsed="false" customFormat="false" customHeight="false" hidden="false" ht="12.1" outlineLevel="0" r="942">
      <c r="A942" s="14" t="n">
        <v>45800.468784722</v>
      </c>
      <c r="B942" s="6" t="n">
        <v>6.5</v>
      </c>
      <c r="C942" s="6" t="n">
        <v>6.5</v>
      </c>
      <c r="D942" s="2" t="s">
        <v>408</v>
      </c>
      <c r="E942" s="2"/>
      <c r="F942" s="2"/>
      <c r="G942" s="6" t="s">
        <f>=A942-A941</f>
      </c>
      <c r="H942" s="6" t="s">
        <f>=B942+H941</f>
      </c>
      <c r="I942" s="6" t="s">
        <f>=G942*H941</f>
      </c>
    </row>
    <row collapsed="false" customFormat="false" customHeight="false" hidden="false" ht="12.1" outlineLevel="0" r="943">
      <c r="A943" s="14" t="n">
        <v>45800.47349537</v>
      </c>
      <c r="B943" s="6" t="n">
        <v>20.96</v>
      </c>
      <c r="C943" s="6" t="n">
        <v>20.96</v>
      </c>
      <c r="D943" s="2" t="s">
        <v>745</v>
      </c>
      <c r="E943" s="2"/>
      <c r="F943" s="2"/>
      <c r="G943" s="6" t="s">
        <f>=A943-A942</f>
      </c>
      <c r="H943" s="6" t="s">
        <f>=B943+H942</f>
      </c>
      <c r="I943" s="6" t="s">
        <f>=G943*H942</f>
      </c>
    </row>
    <row collapsed="false" customFormat="false" customHeight="false" hidden="false" ht="12.1" outlineLevel="0" r="944">
      <c r="A944" s="14" t="n">
        <v>45802</v>
      </c>
      <c r="B944" s="6" t="n">
        <v>-36.32</v>
      </c>
      <c r="C944" s="6" t="n">
        <v>-36.32</v>
      </c>
      <c r="D944" s="2" t="s">
        <v>655</v>
      </c>
      <c r="E944" s="2"/>
      <c r="F944" s="2"/>
      <c r="G944" s="6" t="s">
        <f>=A944-A943</f>
      </c>
      <c r="H944" s="6" t="s">
        <f>=B944+H943</f>
      </c>
      <c r="I944" s="6" t="s">
        <f>=G944*H943</f>
      </c>
    </row>
    <row collapsed="false" customFormat="false" customHeight="false" hidden="false" ht="12.1" outlineLevel="0" r="945">
      <c r="A945" s="14" t="n">
        <v>45803.457326389</v>
      </c>
      <c r="B945" s="6" t="n">
        <v>11.18</v>
      </c>
      <c r="C945" s="6" t="n">
        <v>11.18</v>
      </c>
      <c r="D945" s="2" t="s">
        <v>602</v>
      </c>
      <c r="E945" s="2"/>
      <c r="F945" s="2"/>
      <c r="G945" s="6" t="s">
        <f>=A945-A944</f>
      </c>
      <c r="H945" s="6" t="s">
        <f>=B945+H944</f>
      </c>
      <c r="I945" s="6" t="s">
        <f>=G945*H944</f>
      </c>
    </row>
    <row collapsed="false" customFormat="false" customHeight="false" hidden="false" ht="12.1" outlineLevel="0" r="946">
      <c r="A946" s="14" t="n">
        <v>45804.516631944</v>
      </c>
      <c r="B946" s="6" t="n">
        <v>36.32</v>
      </c>
      <c r="C946" s="6" t="n">
        <v>36.32</v>
      </c>
      <c r="D946" s="2" t="s">
        <v>576</v>
      </c>
      <c r="E946" s="2"/>
      <c r="F946" s="2"/>
      <c r="G946" s="6" t="s">
        <f>=A946-A945</f>
      </c>
      <c r="H946" s="6" t="s">
        <f>=B946+H945</f>
      </c>
      <c r="I946" s="6" t="s">
        <f>=G946*H945</f>
      </c>
    </row>
    <row collapsed="false" customFormat="false" customHeight="false" hidden="false" ht="12.1" outlineLevel="0" r="947">
      <c r="A947" s="14" t="n">
        <v>45805</v>
      </c>
      <c r="B947" s="6" t="n">
        <v>-473.7</v>
      </c>
      <c r="C947" s="6" t="n">
        <v>-473.7</v>
      </c>
      <c r="D947" s="2" t="s">
        <v>746</v>
      </c>
      <c r="E947" s="2"/>
      <c r="F947" s="2"/>
      <c r="G947" s="6" t="s">
        <f>=A947-A946</f>
      </c>
      <c r="H947" s="6" t="s">
        <f>=B947+H946</f>
      </c>
      <c r="I947" s="6" t="s">
        <f>=G947*H946</f>
      </c>
    </row>
    <row collapsed="false" customFormat="false" customHeight="false" hidden="false" ht="12.1" outlineLevel="0" r="948">
      <c r="A948" s="14" t="n">
        <v>45805</v>
      </c>
      <c r="B948" s="6" t="n">
        <v>-366.48</v>
      </c>
      <c r="C948" s="6" t="n">
        <v>-366.48</v>
      </c>
      <c r="D948" s="2" t="s">
        <v>747</v>
      </c>
      <c r="E948" s="2"/>
      <c r="F948" s="2"/>
      <c r="G948" s="6" t="s">
        <f>=A948-A947</f>
      </c>
      <c r="H948" s="6" t="s">
        <f>=B948+H947</f>
      </c>
      <c r="I948" s="6" t="s">
        <f>=G948*H947</f>
      </c>
    </row>
    <row collapsed="false" customFormat="false" customHeight="false" hidden="false" ht="12.1" outlineLevel="0" r="949">
      <c r="A949" s="14" t="n">
        <v>45805.476296296</v>
      </c>
      <c r="B949" s="6" t="n">
        <v>74.79</v>
      </c>
      <c r="C949" s="6" t="n">
        <v>74.79</v>
      </c>
      <c r="D949" s="2" t="s">
        <v>635</v>
      </c>
      <c r="E949" s="2"/>
      <c r="F949" s="2"/>
      <c r="G949" s="6" t="s">
        <f>=A949-A948</f>
      </c>
      <c r="H949" s="6" t="s">
        <f>=B949+H948</f>
      </c>
      <c r="I949" s="6" t="s">
        <f>=G949*H948</f>
      </c>
    </row>
    <row collapsed="false" customFormat="false" customHeight="false" hidden="false" ht="12.1" outlineLevel="0" r="950">
      <c r="A950" s="14" t="n">
        <v>45805.780416667</v>
      </c>
      <c r="B950" s="6" t="n">
        <v>473.7</v>
      </c>
      <c r="C950" s="6" t="n">
        <v>473.7</v>
      </c>
      <c r="D950" s="2" t="s">
        <v>538</v>
      </c>
      <c r="E950" s="2"/>
      <c r="F950" s="2"/>
      <c r="G950" s="6" t="s">
        <f>=A950-A949</f>
      </c>
      <c r="H950" s="6" t="s">
        <f>=B950+H949</f>
      </c>
      <c r="I950" s="6" t="s">
        <f>=G950*H949</f>
      </c>
    </row>
    <row collapsed="false" customFormat="false" customHeight="false" hidden="false" ht="12.1" outlineLevel="0" r="951">
      <c r="A951" s="14" t="n">
        <v>45805.903796296</v>
      </c>
      <c r="B951" s="6" t="n">
        <v>366.48</v>
      </c>
      <c r="C951" s="6" t="n">
        <v>366.48</v>
      </c>
      <c r="D951" s="2" t="s">
        <v>636</v>
      </c>
      <c r="E951" s="2"/>
      <c r="F951" s="2"/>
      <c r="G951" s="6" t="s">
        <f>=A951-A950</f>
      </c>
      <c r="H951" s="6" t="s">
        <f>=B951+H950</f>
      </c>
      <c r="I951" s="6" t="s">
        <f>=G951*H950</f>
      </c>
    </row>
    <row collapsed="false" customFormat="false" customHeight="false" hidden="false" ht="12.1" outlineLevel="0" r="952">
      <c r="A952" s="14" t="n">
        <v>45806</v>
      </c>
      <c r="B952" s="6" t="n">
        <v>-19.2</v>
      </c>
      <c r="C952" s="6" t="n">
        <v>-19.2</v>
      </c>
      <c r="D952" s="2" t="s">
        <v>748</v>
      </c>
      <c r="E952" s="2"/>
      <c r="F952" s="2"/>
      <c r="G952" s="6" t="s">
        <f>=A952-A951</f>
      </c>
      <c r="H952" s="6" t="s">
        <f>=B952+H951</f>
      </c>
      <c r="I952" s="6" t="s">
        <f>=G952*H951</f>
      </c>
    </row>
    <row collapsed="false" customFormat="false" customHeight="false" hidden="false" ht="12.1" outlineLevel="0" r="953">
      <c r="A953" s="14" t="n">
        <v>45806</v>
      </c>
      <c r="B953" s="6" t="n">
        <v>-19.48</v>
      </c>
      <c r="C953" s="6" t="n">
        <v>-19.48</v>
      </c>
      <c r="D953" s="2" t="s">
        <v>749</v>
      </c>
      <c r="E953" s="2"/>
      <c r="F953" s="2"/>
      <c r="G953" s="6" t="s">
        <f>=A953-A952</f>
      </c>
      <c r="H953" s="6" t="s">
        <f>=B953+H952</f>
      </c>
      <c r="I953" s="6" t="s">
        <f>=G953*H952</f>
      </c>
    </row>
    <row collapsed="false" customFormat="false" customHeight="false" hidden="false" ht="12.1" outlineLevel="0" r="954">
      <c r="A954" s="14" t="n">
        <v>45807</v>
      </c>
      <c r="B954" s="6" t="n">
        <v>-24.81</v>
      </c>
      <c r="C954" s="6" t="n">
        <v>-24.81</v>
      </c>
      <c r="D954" s="2" t="s">
        <v>365</v>
      </c>
      <c r="E954" s="2"/>
      <c r="F954" s="2"/>
      <c r="G954" s="6" t="s">
        <f>=A954-A953</f>
      </c>
      <c r="H954" s="6" t="s">
        <f>=B954+H953</f>
      </c>
      <c r="I954" s="6" t="s">
        <f>=G954*H953</f>
      </c>
    </row>
    <row collapsed="false" customFormat="false" customHeight="false" hidden="false" ht="12.1" outlineLevel="0" r="955">
      <c r="A955" s="14" t="n">
        <v>45807</v>
      </c>
      <c r="B955" s="6" t="n">
        <v>19.48</v>
      </c>
      <c r="C955" s="6" t="n">
        <v>19.48</v>
      </c>
      <c r="D955" s="2" t="s">
        <v>750</v>
      </c>
      <c r="E955" s="2"/>
      <c r="F955" s="2"/>
      <c r="G955" s="6" t="s">
        <f>=A955-A954</f>
      </c>
      <c r="H955" s="6" t="s">
        <f>=B955+H954</f>
      </c>
      <c r="I955" s="6" t="s">
        <f>=G955*H954</f>
      </c>
    </row>
    <row collapsed="false" customFormat="false" customHeight="false" hidden="false" ht="12.1" outlineLevel="0" r="956">
      <c r="A956" s="14" t="n">
        <v>45807.417175926</v>
      </c>
      <c r="B956" s="6" t="n">
        <v>19.2</v>
      </c>
      <c r="C956" s="6" t="n">
        <v>19.2</v>
      </c>
      <c r="D956" s="2" t="s">
        <v>506</v>
      </c>
      <c r="E956" s="2"/>
      <c r="F956" s="2"/>
      <c r="G956" s="6" t="s">
        <f>=A956-A955</f>
      </c>
      <c r="H956" s="6" t="s">
        <f>=B956+H955</f>
      </c>
      <c r="I956" s="6" t="s">
        <f>=G956*H955</f>
      </c>
    </row>
    <row collapsed="false" customFormat="false" customHeight="false" hidden="false" ht="12.1" outlineLevel="0" r="957">
      <c r="A957" s="14" t="n">
        <v>45809</v>
      </c>
      <c r="B957" s="6" t="n">
        <v>-38.6</v>
      </c>
      <c r="C957" s="6" t="n">
        <v>-38.6</v>
      </c>
      <c r="D957" s="2" t="s">
        <v>751</v>
      </c>
      <c r="E957" s="2"/>
      <c r="F957" s="2"/>
      <c r="G957" s="6" t="s">
        <f>=A957-A956</f>
      </c>
      <c r="H957" s="6" t="s">
        <f>=B957+H956</f>
      </c>
      <c r="I957" s="6" t="s">
        <f>=G957*H956</f>
      </c>
    </row>
    <row collapsed="false" customFormat="false" customHeight="false" hidden="false" ht="12.1" outlineLevel="0" r="958">
      <c r="A958" s="14" t="n">
        <v>45810.462835648</v>
      </c>
      <c r="B958" s="6" t="n">
        <v>24.81</v>
      </c>
      <c r="C958" s="6" t="n">
        <v>24.81</v>
      </c>
      <c r="D958" s="2" t="s">
        <v>366</v>
      </c>
      <c r="E958" s="2"/>
      <c r="F958" s="2"/>
      <c r="G958" s="6" t="s">
        <f>=A958-A957</f>
      </c>
      <c r="H958" s="6" t="s">
        <f>=B958+H957</f>
      </c>
      <c r="I958" s="6" t="s">
        <f>=G958*H957</f>
      </c>
    </row>
    <row collapsed="false" customFormat="false" customHeight="false" hidden="false" ht="12.1" outlineLevel="0" r="959">
      <c r="A959" s="12" t="n">
        <v>45810.999988426</v>
      </c>
      <c r="B959" s="5" t="n">
        <v>-443684.79</v>
      </c>
      <c r="C959" s="5" t="n">
        <v>-443684.79</v>
      </c>
      <c r="D959" s="15" t="s">
        <v>752</v>
      </c>
      <c r="E959" s="2"/>
      <c r="F959" s="2"/>
      <c r="G959" s="6" t="s">
        <f>=A959-A958</f>
      </c>
      <c r="H959" s="6" t="s">
        <f>=B959+H958</f>
      </c>
      <c r="I959" s="6" t="s">
        <f>=G959*H958</f>
      </c>
    </row>
    <row collapsed="false" customFormat="false" customHeight="false" hidden="false" ht="12.1" outlineLevel="0" r="960">
      <c r="A960" s="14"/>
      <c r="B960" s="9" t="s">
        <f>=XIRR(B2:B959,A2:A959)</f>
      </c>
      <c r="C960" s="9" t="s">
        <f>=XIRR(C2:C959,A2:A959)</f>
      </c>
      <c r="D960" s="2" t="s">
        <v>753</v>
      </c>
      <c r="E960" s="2"/>
      <c r="F960" s="2"/>
      <c r="G960" s="7"/>
      <c r="H960" s="2" t="s">
        <v>754</v>
      </c>
      <c r="I960" s="6" t="s">
        <f>=SUM(I2:I959)/365</f>
      </c>
    </row>
    <row collapsed="false" customFormat="false" customHeight="false" hidden="false" ht="12.1" outlineLevel="0" r="961">
      <c r="A961" s="14"/>
      <c r="B961" s="5" t="s">
        <f>=-SUM(B2:B959)</f>
      </c>
      <c r="C961" s="5" t="s">
        <f>=-SUM(C2:C959)</f>
      </c>
      <c r="D961" s="2" t="s">
        <v>755</v>
      </c>
      <c r="E961" s="2"/>
      <c r="F961" s="2"/>
      <c r="G961" s="7"/>
      <c r="H961" s="15" t="s">
        <v>756</v>
      </c>
      <c r="I961" s="9" t="s">
        <f>=B961/I960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  <c r="CP1" s="0"/>
      <c r="CQ1" s="4" t="s">
        <v>99</v>
      </c>
      <c r="CR1" s="0"/>
      <c r="CS1" s="0"/>
      <c r="CT1" s="4" t="s">
        <v>102</v>
      </c>
      <c r="CU1" s="0"/>
      <c r="CV1" s="0"/>
      <c r="CW1" s="4" t="s">
        <v>105</v>
      </c>
      <c r="CX1" s="0"/>
      <c r="CY1" s="0"/>
      <c r="CZ1" s="4" t="s">
        <v>108</v>
      </c>
      <c r="DA1" s="0"/>
      <c r="DB1" s="0"/>
      <c r="DC1" s="4" t="s">
        <v>111</v>
      </c>
      <c r="DD1" s="0"/>
      <c r="DE1" s="0"/>
      <c r="DF1" s="4" t="s">
        <v>114</v>
      </c>
      <c r="DG1" s="0"/>
      <c r="DH1" s="0"/>
      <c r="DI1" s="4" t="s">
        <v>117</v>
      </c>
      <c r="DJ1" s="0"/>
      <c r="DK1" s="0"/>
      <c r="DL1" s="4" t="s">
        <v>120</v>
      </c>
      <c r="DM1" s="0"/>
      <c r="DN1" s="0"/>
      <c r="DO1" s="4" t="s">
        <v>123</v>
      </c>
      <c r="DP1" s="0"/>
      <c r="DQ1" s="0"/>
      <c r="DR1" s="4" t="s">
        <v>126</v>
      </c>
      <c r="DS1" s="0"/>
      <c r="DT1" s="0"/>
      <c r="DU1" s="4" t="s">
        <v>129</v>
      </c>
      <c r="DV1" s="0"/>
      <c r="DW1" s="0"/>
      <c r="DX1" s="4" t="s">
        <v>132</v>
      </c>
      <c r="DY1" s="0"/>
      <c r="DZ1" s="0"/>
      <c r="EA1" s="4" t="s">
        <v>135</v>
      </c>
      <c r="EB1" s="0"/>
      <c r="EC1" s="0"/>
      <c r="ED1" s="4" t="s">
        <v>138</v>
      </c>
      <c r="EE1" s="0"/>
      <c r="EF1" s="0"/>
      <c r="EG1" s="4" t="s">
        <v>141</v>
      </c>
      <c r="EH1" s="0"/>
      <c r="EI1" s="0"/>
      <c r="EJ1" s="4" t="s">
        <v>144</v>
      </c>
      <c r="EK1" s="0"/>
      <c r="EL1" s="0"/>
      <c r="EM1" s="4" t="s">
        <v>147</v>
      </c>
      <c r="EN1" s="0"/>
      <c r="EO1" s="0"/>
      <c r="EP1" s="4" t="s">
        <v>150</v>
      </c>
      <c r="EQ1" s="0"/>
      <c r="ER1" s="0"/>
      <c r="ES1" s="4" t="s">
        <v>153</v>
      </c>
      <c r="ET1" s="0"/>
      <c r="EU1" s="0"/>
      <c r="EV1" s="4" t="s">
        <v>156</v>
      </c>
      <c r="EW1" s="0"/>
      <c r="EX1" s="0"/>
      <c r="EY1" s="4" t="s">
        <v>159</v>
      </c>
      <c r="EZ1" s="0"/>
      <c r="FA1" s="0"/>
      <c r="FB1" s="4" t="s">
        <v>162</v>
      </c>
      <c r="FC1" s="0"/>
      <c r="FD1" s="0"/>
      <c r="FE1" s="4" t="s">
        <v>165</v>
      </c>
      <c r="FF1" s="0"/>
      <c r="FG1" s="0"/>
      <c r="FH1" s="4" t="s">
        <v>168</v>
      </c>
      <c r="FI1" s="0"/>
      <c r="FJ1" s="0"/>
      <c r="FK1" s="4" t="s">
        <v>171</v>
      </c>
      <c r="FL1" s="0"/>
      <c r="FM1" s="0"/>
      <c r="FN1" s="4" t="s">
        <v>174</v>
      </c>
      <c r="FO1" s="0"/>
      <c r="FP1" s="0"/>
      <c r="FQ1" s="4" t="s">
        <v>177</v>
      </c>
      <c r="FR1" s="0"/>
      <c r="FS1" s="0"/>
      <c r="FT1" s="4" t="s">
        <v>180</v>
      </c>
      <c r="FU1" s="0"/>
      <c r="FV1" s="0"/>
      <c r="FW1" s="4" t="s">
        <v>183</v>
      </c>
      <c r="FX1" s="0"/>
      <c r="FY1" s="0"/>
      <c r="FZ1" s="4" t="s">
        <v>186</v>
      </c>
      <c r="GA1" s="0"/>
      <c r="GB1" s="0"/>
      <c r="GC1" s="4" t="s">
        <v>189</v>
      </c>
      <c r="GD1" s="0"/>
      <c r="GE1" s="0"/>
      <c r="GF1" s="4" t="s">
        <v>192</v>
      </c>
      <c r="GG1" s="0"/>
      <c r="GH1" s="0"/>
      <c r="GI1" s="4" t="s">
        <v>195</v>
      </c>
      <c r="GJ1" s="0"/>
      <c r="GK1" s="0"/>
      <c r="GL1" s="4" t="s">
        <v>198</v>
      </c>
      <c r="GM1" s="0"/>
      <c r="GN1" s="0"/>
      <c r="GO1" s="4" t="s">
        <v>201</v>
      </c>
      <c r="GP1" s="0"/>
      <c r="GQ1" s="0"/>
      <c r="GR1" s="4" t="s">
        <v>204</v>
      </c>
      <c r="GS1" s="0"/>
      <c r="GT1" s="0"/>
      <c r="GU1" s="4" t="s">
        <v>207</v>
      </c>
      <c r="GV1" s="0"/>
      <c r="GW1" s="0"/>
      <c r="GX1" s="4" t="s">
        <v>210</v>
      </c>
      <c r="GY1" s="0"/>
      <c r="GZ1" s="0"/>
      <c r="HA1" s="4" t="s">
        <v>213</v>
      </c>
      <c r="HB1" s="0"/>
      <c r="HC1" s="0"/>
      <c r="HD1" s="4" t="s">
        <v>216</v>
      </c>
      <c r="HE1" s="0"/>
      <c r="HF1" s="0"/>
      <c r="HG1" s="4" t="s">
        <v>219</v>
      </c>
      <c r="HH1" s="0"/>
      <c r="HI1" s="0"/>
      <c r="HJ1" s="4" t="s">
        <v>222</v>
      </c>
      <c r="HK1" s="0"/>
      <c r="HL1" s="0"/>
      <c r="HM1" s="4" t="s">
        <v>225</v>
      </c>
      <c r="HN1" s="0"/>
      <c r="HO1" s="0"/>
      <c r="HP1" s="4" t="s">
        <v>228</v>
      </c>
      <c r="HQ1" s="0"/>
      <c r="HR1" s="0"/>
      <c r="HS1" s="4" t="s">
        <v>231</v>
      </c>
      <c r="HT1" s="0"/>
      <c r="HU1" s="0"/>
      <c r="HV1" s="4" t="s">
        <v>234</v>
      </c>
      <c r="HW1" s="0"/>
      <c r="HX1" s="0"/>
      <c r="HY1" s="4" t="s">
        <v>237</v>
      </c>
      <c r="HZ1" s="0"/>
      <c r="IA1" s="0"/>
      <c r="IB1" s="4" t="s">
        <v>240</v>
      </c>
      <c r="IC1" s="0"/>
      <c r="ID1" s="0"/>
      <c r="IE1" s="4" t="s">
        <v>243</v>
      </c>
      <c r="IF1" s="0"/>
      <c r="IG1" s="0"/>
      <c r="IH1" s="4" t="s">
        <v>246</v>
      </c>
      <c r="II1" s="0"/>
      <c r="IJ1" s="0"/>
      <c r="IK1" s="4" t="s">
        <v>249</v>
      </c>
      <c r="IL1" s="0"/>
      <c r="IM1" s="0"/>
      <c r="IN1" s="4" t="s">
        <v>252</v>
      </c>
      <c r="IO1" s="0"/>
      <c r="IP1" s="0"/>
      <c r="IQ1" s="4" t="s">
        <v>255</v>
      </c>
      <c r="IR1" s="0"/>
      <c r="IS1" s="0"/>
      <c r="IT1" s="4" t="s">
        <v>258</v>
      </c>
      <c r="IU1" s="0"/>
      <c r="IV1" s="0"/>
      <c r="IW1" s="4" t="s">
        <v>261</v>
      </c>
      <c r="IX1" s="0"/>
      <c r="IY1" s="0"/>
      <c r="IZ1" s="4" t="s">
        <v>264</v>
      </c>
      <c r="JA1" s="0"/>
      <c r="JB1" s="0"/>
      <c r="JC1" s="4" t="s">
        <v>267</v>
      </c>
      <c r="JD1" s="0"/>
      <c r="JE1" s="0"/>
      <c r="JF1" s="4" t="s">
        <v>270</v>
      </c>
      <c r="JG1" s="0"/>
      <c r="JH1" s="0"/>
      <c r="JI1" s="4" t="s">
        <v>273</v>
      </c>
      <c r="JJ1" s="0"/>
      <c r="JK1" s="0"/>
      <c r="JL1" s="4" t="s">
        <v>276</v>
      </c>
      <c r="JM1" s="0"/>
      <c r="JN1" s="0"/>
      <c r="JO1" s="4" t="s">
        <v>279</v>
      </c>
      <c r="JP1" s="0"/>
      <c r="JQ1" s="0"/>
      <c r="JR1" s="4" t="s">
        <v>282</v>
      </c>
      <c r="JS1" s="0"/>
      <c r="JT1" s="0"/>
      <c r="JU1" s="4" t="s">
        <v>285</v>
      </c>
      <c r="JV1" s="0"/>
      <c r="JW1" s="0"/>
      <c r="JX1" s="4" t="s">
        <v>288</v>
      </c>
      <c r="JY1" s="0"/>
      <c r="JZ1" s="0"/>
      <c r="KA1" s="4" t="s">
        <v>291</v>
      </c>
      <c r="KB1" s="0"/>
      <c r="KC1" s="0"/>
      <c r="KD1" s="4" t="s">
        <v>294</v>
      </c>
      <c r="KE1" s="0"/>
      <c r="KF1" s="0"/>
      <c r="KG1" s="4" t="s">
        <v>297</v>
      </c>
      <c r="KH1" s="0"/>
      <c r="KI1" s="0"/>
      <c r="KJ1" s="4" t="s">
        <v>300</v>
      </c>
      <c r="KK1" s="0"/>
      <c r="KL1" s="0"/>
      <c r="KM1" s="4" t="s">
        <v>303</v>
      </c>
      <c r="KN1" s="0"/>
      <c r="KO1" s="0"/>
      <c r="KP1" s="4" t="s">
        <v>306</v>
      </c>
      <c r="KQ1" s="0"/>
      <c r="KR1" s="0"/>
      <c r="KS1" s="4" t="s">
        <v>308</v>
      </c>
      <c r="KT1" s="0"/>
      <c r="KU1" s="0"/>
      <c r="KV1" s="4" t="s">
        <v>311</v>
      </c>
      <c r="KW1" s="0"/>
      <c r="KX1" s="0"/>
      <c r="KY1" s="4" t="s">
        <v>314</v>
      </c>
      <c r="KZ1" s="0"/>
      <c r="LA1" s="0"/>
      <c r="LB1" s="4" t="s">
        <v>317</v>
      </c>
      <c r="LC1" s="0"/>
      <c r="LD1" s="0"/>
      <c r="LE1" s="4" t="s">
        <v>320</v>
      </c>
      <c r="LF1" s="0"/>
    </row>
    <row collapsed="false" customFormat="false" customHeight="false" hidden="false" ht="12.1" outlineLevel="0" r="2">
      <c r="A2" s="11" t="n">
        <v>44910</v>
      </c>
      <c r="B2" s="6" t="n">
        <v>1362.07</v>
      </c>
      <c r="C2" s="0" t="s">
        <v>757</v>
      </c>
      <c r="D2" s="11" t="n">
        <v>45639</v>
      </c>
      <c r="E2" s="6" t="n">
        <v>2295.87</v>
      </c>
      <c r="F2" s="0" t="s">
        <v>757</v>
      </c>
      <c r="G2" s="11" t="n">
        <v>45001</v>
      </c>
      <c r="H2" s="6" t="n">
        <v>9215.06</v>
      </c>
      <c r="I2" s="0" t="s">
        <v>757</v>
      </c>
      <c r="J2" s="11" t="n">
        <v>44929</v>
      </c>
      <c r="K2" s="6" t="n">
        <v>1419.65</v>
      </c>
      <c r="L2" s="0" t="s">
        <v>757</v>
      </c>
      <c r="M2" s="11" t="n">
        <v>44769</v>
      </c>
      <c r="N2" s="6" t="n">
        <v>1976.51</v>
      </c>
      <c r="O2" s="0" t="s">
        <v>757</v>
      </c>
      <c r="P2" s="11" t="n">
        <v>44769</v>
      </c>
      <c r="Q2" s="6" t="n">
        <v>394.48</v>
      </c>
      <c r="R2" s="0" t="s">
        <v>757</v>
      </c>
      <c r="S2" s="11" t="n">
        <v>44761</v>
      </c>
      <c r="T2" s="6" t="n">
        <v>753.75</v>
      </c>
      <c r="U2" s="0" t="s">
        <v>757</v>
      </c>
      <c r="V2" s="11" t="n">
        <v>44984</v>
      </c>
      <c r="W2" s="6" t="n">
        <v>1161.47</v>
      </c>
      <c r="X2" s="0" t="s">
        <v>757</v>
      </c>
      <c r="Y2" s="11" t="n">
        <v>45085</v>
      </c>
      <c r="Z2" s="6" t="n">
        <v>3342</v>
      </c>
      <c r="AA2" s="0" t="s">
        <v>757</v>
      </c>
      <c r="AB2" s="11" t="n">
        <v>44769</v>
      </c>
      <c r="AC2" s="6" t="n">
        <v>331.59</v>
      </c>
      <c r="AD2" s="0" t="s">
        <v>757</v>
      </c>
      <c r="AE2" s="11" t="n">
        <v>44748</v>
      </c>
      <c r="AF2" s="6" t="n">
        <v>189.82</v>
      </c>
      <c r="AG2" s="0" t="s">
        <v>757</v>
      </c>
      <c r="AH2" s="11" t="n">
        <v>45198</v>
      </c>
      <c r="AI2" s="6" t="n">
        <v>2761.76</v>
      </c>
      <c r="AJ2" s="0" t="s">
        <v>757</v>
      </c>
      <c r="AK2" s="11" t="n">
        <v>44984</v>
      </c>
      <c r="AL2" s="6" t="n">
        <v>283.25</v>
      </c>
      <c r="AM2" s="0" t="s">
        <v>757</v>
      </c>
      <c r="AN2" s="11" t="n">
        <v>45639</v>
      </c>
      <c r="AO2" s="6" t="n">
        <v>3070.28</v>
      </c>
      <c r="AP2" s="0" t="s">
        <v>757</v>
      </c>
      <c r="AQ2" s="11" t="n">
        <v>44929</v>
      </c>
      <c r="AR2" s="6" t="n">
        <v>1208.31</v>
      </c>
      <c r="AS2" s="0" t="s">
        <v>757</v>
      </c>
      <c r="AT2" s="11" t="n">
        <v>45035</v>
      </c>
      <c r="AU2" s="6" t="n">
        <v>638.11</v>
      </c>
      <c r="AV2" s="0" t="s">
        <v>757</v>
      </c>
      <c r="AW2" s="11" t="n">
        <v>45597</v>
      </c>
      <c r="AX2" s="6" t="n">
        <v>2846.51</v>
      </c>
      <c r="AY2" s="0" t="s">
        <v>757</v>
      </c>
      <c r="AZ2" s="11" t="n">
        <v>44858</v>
      </c>
      <c r="BA2" s="6" t="n">
        <v>626.47</v>
      </c>
      <c r="BB2" s="0" t="s">
        <v>757</v>
      </c>
      <c r="BC2" s="11" t="n">
        <v>44999</v>
      </c>
      <c r="BD2" s="6" t="n">
        <v>2232.68</v>
      </c>
      <c r="BE2" s="0" t="s">
        <v>757</v>
      </c>
      <c r="BF2" s="11" t="n">
        <v>45471</v>
      </c>
      <c r="BG2" s="6" t="n">
        <v>3138.89</v>
      </c>
      <c r="BH2" s="0" t="s">
        <v>757</v>
      </c>
      <c r="BI2" s="11" t="n">
        <v>45418</v>
      </c>
      <c r="BJ2" s="6" t="n">
        <v>1541.21</v>
      </c>
      <c r="BK2" s="0" t="s">
        <v>757</v>
      </c>
      <c r="BL2" s="11" t="n">
        <v>45324</v>
      </c>
      <c r="BM2" s="6" t="n">
        <v>1421.15</v>
      </c>
      <c r="BN2" s="0" t="s">
        <v>757</v>
      </c>
      <c r="BO2" s="11" t="n">
        <v>45244</v>
      </c>
      <c r="BP2" s="6" t="n">
        <v>2237.69</v>
      </c>
      <c r="BQ2" s="0" t="s">
        <v>757</v>
      </c>
      <c r="BR2" s="11" t="n">
        <v>45104</v>
      </c>
      <c r="BS2" s="6" t="n">
        <v>1004</v>
      </c>
      <c r="BT2" s="0" t="s">
        <v>757</v>
      </c>
      <c r="BU2" s="11" t="n">
        <v>45729</v>
      </c>
      <c r="BV2" s="6" t="n">
        <v>1554.05</v>
      </c>
      <c r="BW2" s="0" t="s">
        <v>757</v>
      </c>
      <c r="BX2" s="11" t="n">
        <v>44742</v>
      </c>
      <c r="BY2" s="6" t="n">
        <v>1031.08</v>
      </c>
      <c r="BZ2" s="0" t="s">
        <v>757</v>
      </c>
      <c r="CA2" s="11" t="n">
        <v>44699</v>
      </c>
      <c r="CB2" s="6" t="n">
        <v>454.56</v>
      </c>
      <c r="CC2" s="0" t="s">
        <v>757</v>
      </c>
      <c r="CD2" s="11" t="n">
        <v>44858</v>
      </c>
      <c r="CE2" s="6" t="n">
        <v>745.73</v>
      </c>
      <c r="CF2" s="0" t="s">
        <v>757</v>
      </c>
      <c r="CG2" s="11" t="n">
        <v>45471</v>
      </c>
      <c r="CH2" s="6" t="n">
        <v>421.81</v>
      </c>
      <c r="CI2" s="0" t="s">
        <v>757</v>
      </c>
      <c r="CJ2" s="11" t="n">
        <v>45471</v>
      </c>
      <c r="CK2" s="6" t="n">
        <v>707.22</v>
      </c>
      <c r="CL2" s="0" t="s">
        <v>757</v>
      </c>
      <c r="CM2" s="11" t="n">
        <v>44708</v>
      </c>
      <c r="CN2" s="6" t="s">
        <f>=786.84</f>
      </c>
      <c r="CO2" s="0" t="s">
        <v>757</v>
      </c>
      <c r="CP2" s="11" t="n">
        <v>44739</v>
      </c>
      <c r="CQ2" s="6" t="s">
        <f>=1107.71</f>
      </c>
      <c r="CR2" s="0" t="s">
        <v>757</v>
      </c>
      <c r="CS2" s="11" t="n">
        <v>44903</v>
      </c>
      <c r="CT2" s="6" t="s">
        <f>=766.25</f>
      </c>
      <c r="CU2" s="0" t="s">
        <v>757</v>
      </c>
      <c r="CV2" s="11" t="n">
        <v>44708</v>
      </c>
      <c r="CW2" s="6" t="s">
        <f>=1064.65</f>
      </c>
      <c r="CX2" s="0" t="s">
        <v>757</v>
      </c>
      <c r="CY2" s="11" t="n">
        <v>44903</v>
      </c>
      <c r="CZ2" s="6" t="s">
        <f>=808.71</f>
      </c>
      <c r="DA2" s="0" t="s">
        <v>757</v>
      </c>
      <c r="DB2" s="11" t="n">
        <v>44868</v>
      </c>
      <c r="DC2" s="6" t="s">
        <f>=831.71</f>
      </c>
      <c r="DD2" s="0" t="s">
        <v>757</v>
      </c>
      <c r="DE2" s="11" t="n">
        <v>45061</v>
      </c>
      <c r="DF2" s="6" t="s">
        <f>=897.96</f>
      </c>
      <c r="DG2" s="0" t="s">
        <v>757</v>
      </c>
      <c r="DH2" s="11" t="n">
        <v>44699</v>
      </c>
      <c r="DI2" s="6" t="s">
        <f>=769.66</f>
      </c>
      <c r="DJ2" s="0" t="s">
        <v>757</v>
      </c>
      <c r="DK2" s="11" t="n">
        <v>45147</v>
      </c>
      <c r="DL2" s="6" t="s">
        <f>=2817.63</f>
      </c>
      <c r="DM2" s="0" t="s">
        <v>757</v>
      </c>
      <c r="DN2" s="11" t="n">
        <v>45303</v>
      </c>
      <c r="DO2" s="6" t="s">
        <f>=1773.59</f>
      </c>
      <c r="DP2" s="0" t="s">
        <v>757</v>
      </c>
      <c r="DQ2" s="11" t="n">
        <v>45351</v>
      </c>
      <c r="DR2" s="6" t="s">
        <f>=865.68</f>
      </c>
      <c r="DS2" s="0" t="s">
        <v>757</v>
      </c>
      <c r="DT2" s="11" t="n">
        <v>45566</v>
      </c>
      <c r="DU2" s="6" t="s">
        <f>=834.85</f>
      </c>
      <c r="DV2" s="0" t="s">
        <v>757</v>
      </c>
      <c r="DW2" s="11" t="n">
        <v>44868</v>
      </c>
      <c r="DX2" s="6" t="s">
        <f>=870.54</f>
      </c>
      <c r="DY2" s="0" t="s">
        <v>757</v>
      </c>
      <c r="DZ2" s="11" t="n">
        <v>44708</v>
      </c>
      <c r="EA2" s="6" t="s">
        <f>=858.05</f>
      </c>
      <c r="EB2" s="0" t="s">
        <v>757</v>
      </c>
      <c r="EC2" s="11" t="n">
        <v>45303</v>
      </c>
      <c r="ED2" s="6" t="s">
        <f>=1984.34</f>
      </c>
      <c r="EE2" s="0" t="s">
        <v>757</v>
      </c>
      <c r="EF2" s="11" t="n">
        <v>44903</v>
      </c>
      <c r="EG2" s="6" t="s">
        <f>=1060.71</f>
      </c>
      <c r="EH2" s="0" t="s">
        <v>757</v>
      </c>
      <c r="EI2" s="11" t="n">
        <v>45702</v>
      </c>
      <c r="EJ2" s="6" t="s">
        <f>=886.71</f>
      </c>
      <c r="EK2" s="0" t="s">
        <v>757</v>
      </c>
      <c r="EL2" s="11" t="n">
        <v>45566</v>
      </c>
      <c r="EM2" s="6" t="s">
        <f>=836.65</f>
      </c>
      <c r="EN2" s="0" t="s">
        <v>757</v>
      </c>
      <c r="EO2" s="11" t="n">
        <v>45026</v>
      </c>
      <c r="EP2" s="6" t="s">
        <f>=1027.73</f>
      </c>
      <c r="EQ2" s="0" t="s">
        <v>757</v>
      </c>
      <c r="ER2" s="11" t="n">
        <v>45009</v>
      </c>
      <c r="ES2" s="6" t="s">
        <f>=1151.69</f>
      </c>
      <c r="ET2" s="0" t="s">
        <v>757</v>
      </c>
      <c r="EU2" s="11" t="n">
        <v>45702</v>
      </c>
      <c r="EV2" s="6" t="s">
        <f>=887.6</f>
      </c>
      <c r="EW2" s="0" t="s">
        <v>757</v>
      </c>
      <c r="EX2" s="11" t="n">
        <v>45356</v>
      </c>
      <c r="EY2" s="6" t="s">
        <f>=878.2</f>
      </c>
      <c r="EZ2" s="0" t="s">
        <v>757</v>
      </c>
      <c r="FA2" s="11" t="n">
        <v>45447</v>
      </c>
      <c r="FB2" s="6" t="s">
        <f>=692.44</f>
      </c>
      <c r="FC2" s="0" t="s">
        <v>757</v>
      </c>
      <c r="FD2" s="11" t="n">
        <v>45670</v>
      </c>
      <c r="FE2" s="6" t="s">
        <f>=829.97</f>
      </c>
      <c r="FF2" s="0" t="s">
        <v>757</v>
      </c>
      <c r="FG2" s="11" t="n">
        <v>45541</v>
      </c>
      <c r="FH2" s="6" t="s">
        <f>=841.44</f>
      </c>
      <c r="FI2" s="0" t="s">
        <v>757</v>
      </c>
      <c r="FJ2" s="11" t="n">
        <v>45471</v>
      </c>
      <c r="FK2" s="6" t="s">
        <f>=2548.19</f>
      </c>
      <c r="FL2" s="0" t="s">
        <v>757</v>
      </c>
      <c r="FM2" s="11" t="n">
        <v>45541</v>
      </c>
      <c r="FN2" s="6" t="s">
        <f>=806.56</f>
      </c>
      <c r="FO2" s="0" t="s">
        <v>757</v>
      </c>
      <c r="FP2" s="11" t="n">
        <v>45155</v>
      </c>
      <c r="FQ2" s="6" t="s">
        <f>=1815.81</f>
      </c>
      <c r="FR2" s="0" t="s">
        <v>757</v>
      </c>
      <c r="FS2" s="11" t="n">
        <v>45471</v>
      </c>
      <c r="FT2" s="6" t="s">
        <f>=1016.68</f>
      </c>
      <c r="FU2" s="0" t="s">
        <v>757</v>
      </c>
      <c r="FV2" s="11" t="n">
        <v>45147</v>
      </c>
      <c r="FW2" s="6" t="s">
        <f>=2031</f>
      </c>
      <c r="FX2" s="0" t="s">
        <v>757</v>
      </c>
      <c r="FY2" s="11" t="n">
        <v>45082</v>
      </c>
      <c r="FZ2" s="6" t="s">
        <f>=955.14</f>
      </c>
      <c r="GA2" s="0" t="s">
        <v>757</v>
      </c>
      <c r="GB2" s="11" t="n">
        <v>45471</v>
      </c>
      <c r="GC2" s="6" t="s">
        <f>=893.98</f>
      </c>
      <c r="GD2" s="0" t="s">
        <v>757</v>
      </c>
      <c r="GE2" s="11" t="n">
        <v>45356</v>
      </c>
      <c r="GF2" s="6" t="s">
        <f>=865.03</f>
      </c>
      <c r="GG2" s="0" t="s">
        <v>757</v>
      </c>
      <c r="GH2" s="11" t="n">
        <v>45670</v>
      </c>
      <c r="GI2" s="6" t="s">
        <f>=869.81</f>
      </c>
      <c r="GJ2" s="0" t="s">
        <v>757</v>
      </c>
      <c r="GK2" s="11" t="n">
        <v>45670</v>
      </c>
      <c r="GL2" s="6" t="s">
        <f>=859.96</f>
      </c>
      <c r="GM2" s="0" t="s">
        <v>757</v>
      </c>
      <c r="GN2" s="11" t="n">
        <v>45541</v>
      </c>
      <c r="GO2" s="6" t="s">
        <f>=817.83</f>
      </c>
      <c r="GP2" s="0" t="s">
        <v>757</v>
      </c>
      <c r="GQ2" s="11" t="n">
        <v>45670</v>
      </c>
      <c r="GR2" s="6" t="s">
        <f>=799.74</f>
      </c>
      <c r="GS2" s="0" t="s">
        <v>757</v>
      </c>
      <c r="GT2" s="11" t="n">
        <v>45729</v>
      </c>
      <c r="GU2" s="6" t="s">
        <f>=783.05</f>
      </c>
      <c r="GV2" s="0" t="s">
        <v>757</v>
      </c>
      <c r="GW2" s="11" t="n">
        <v>45670</v>
      </c>
      <c r="GX2" s="6" t="s">
        <f>=708.87</f>
      </c>
      <c r="GY2" s="0" t="s">
        <v>757</v>
      </c>
      <c r="GZ2" s="11" t="n">
        <v>45267</v>
      </c>
      <c r="HA2" s="6" t="s">
        <f>=1813.07</f>
      </c>
      <c r="HB2" s="0" t="s">
        <v>757</v>
      </c>
      <c r="HC2" s="11" t="n">
        <v>45776</v>
      </c>
      <c r="HD2" s="6" t="s">
        <f>=1032.56</f>
      </c>
      <c r="HE2" s="0" t="s">
        <v>757</v>
      </c>
      <c r="HF2" s="11" t="n">
        <v>45729</v>
      </c>
      <c r="HG2" s="6" t="s">
        <f>=1102.66</f>
      </c>
      <c r="HH2" s="0" t="s">
        <v>757</v>
      </c>
      <c r="HI2" s="11" t="n">
        <v>45776</v>
      </c>
      <c r="HJ2" s="6" t="s">
        <f>=1045.7</f>
      </c>
      <c r="HK2" s="0" t="s">
        <v>757</v>
      </c>
      <c r="HL2" s="11" t="n">
        <v>44903</v>
      </c>
      <c r="HM2" s="6" t="s">
        <f>=1068.61</f>
      </c>
      <c r="HN2" s="0" t="s">
        <v>757</v>
      </c>
      <c r="HO2" s="11" t="n">
        <v>45751</v>
      </c>
      <c r="HP2" s="6" t="s">
        <f>=981.05</f>
      </c>
      <c r="HQ2" s="0" t="s">
        <v>757</v>
      </c>
      <c r="HR2" s="11" t="n">
        <v>45776</v>
      </c>
      <c r="HS2" s="6" t="s">
        <f>=1022.21</f>
      </c>
      <c r="HT2" s="0" t="s">
        <v>757</v>
      </c>
      <c r="HU2" s="11" t="n">
        <v>45356</v>
      </c>
      <c r="HV2" s="6" t="s">
        <f>=1022.03</f>
      </c>
      <c r="HW2" s="0" t="s">
        <v>757</v>
      </c>
      <c r="HX2" s="11" t="n">
        <v>45147</v>
      </c>
      <c r="HY2" s="6" t="s">
        <f>=1013.35</f>
      </c>
      <c r="HZ2" s="0" t="s">
        <v>757</v>
      </c>
      <c r="IA2" s="11" t="n">
        <v>45541</v>
      </c>
      <c r="IB2" s="6" t="s">
        <f>=912.58</f>
      </c>
      <c r="IC2" s="0" t="s">
        <v>757</v>
      </c>
      <c r="ID2" s="11" t="n">
        <v>45751</v>
      </c>
      <c r="IE2" s="6" t="s">
        <f>=957.5</f>
      </c>
      <c r="IF2" s="0" t="s">
        <v>757</v>
      </c>
      <c r="IG2" s="11" t="n">
        <v>45219</v>
      </c>
      <c r="IH2" s="6" t="s">
        <f>=995.2</f>
      </c>
      <c r="II2" s="0" t="s">
        <v>757</v>
      </c>
      <c r="IJ2" s="11" t="n">
        <v>45082</v>
      </c>
      <c r="IK2" s="6" t="s">
        <f>=1033.91</f>
      </c>
      <c r="IL2" s="0" t="s">
        <v>757</v>
      </c>
      <c r="IM2" s="11" t="n">
        <v>44867</v>
      </c>
      <c r="IN2" s="6" t="s">
        <f>=1069.62</f>
      </c>
      <c r="IO2" s="0" t="s">
        <v>757</v>
      </c>
      <c r="IP2" s="11" t="n">
        <v>45082</v>
      </c>
      <c r="IQ2" s="6" t="s">
        <f>=1027.77</f>
      </c>
      <c r="IR2" s="0" t="s">
        <v>757</v>
      </c>
      <c r="IS2" s="11" t="n">
        <v>45729</v>
      </c>
      <c r="IT2" s="6" t="s">
        <f>=861.06</f>
      </c>
      <c r="IU2" s="0" t="s">
        <v>757</v>
      </c>
      <c r="IV2" s="11" t="n">
        <v>45541</v>
      </c>
      <c r="IW2" s="6" t="s">
        <f>=860.66</f>
      </c>
      <c r="IX2" s="0" t="s">
        <v>757</v>
      </c>
      <c r="IY2" s="11" t="n">
        <v>45541</v>
      </c>
      <c r="IZ2" s="6" t="s">
        <f>=842.03</f>
      </c>
      <c r="JA2" s="0" t="s">
        <v>757</v>
      </c>
      <c r="JB2" s="11" t="n">
        <v>45729</v>
      </c>
      <c r="JC2" s="6" t="s">
        <f>=916.86</f>
      </c>
      <c r="JD2" s="0" t="s">
        <v>757</v>
      </c>
      <c r="JE2" s="11" t="n">
        <v>45082</v>
      </c>
      <c r="JF2" s="6" t="s">
        <f>=988.22</f>
      </c>
      <c r="JG2" s="0" t="s">
        <v>757</v>
      </c>
      <c r="JH2" s="11" t="n">
        <v>45670</v>
      </c>
      <c r="JI2" s="6" t="s">
        <f>=944.09</f>
      </c>
      <c r="JJ2" s="0" t="s">
        <v>757</v>
      </c>
      <c r="JK2" s="11" t="n">
        <v>44866</v>
      </c>
      <c r="JL2" s="6" t="s">
        <f>=1028.46</f>
      </c>
      <c r="JM2" s="0" t="s">
        <v>757</v>
      </c>
      <c r="JN2" s="11" t="n">
        <v>44862</v>
      </c>
      <c r="JO2" s="6" t="s">
        <f>=957.61</f>
      </c>
      <c r="JP2" s="0" t="s">
        <v>757</v>
      </c>
      <c r="JQ2" s="11" t="n">
        <v>45729</v>
      </c>
      <c r="JR2" s="6" t="s">
        <f>=894.46</f>
      </c>
      <c r="JS2" s="0" t="s">
        <v>757</v>
      </c>
      <c r="JT2" s="11" t="n">
        <v>45541</v>
      </c>
      <c r="JU2" s="6" t="s">
        <f>=878.93</f>
      </c>
      <c r="JV2" s="0" t="s">
        <v>757</v>
      </c>
      <c r="JW2" s="11" t="n">
        <v>45082</v>
      </c>
      <c r="JX2" s="6" t="s">
        <f>=901.24</f>
      </c>
      <c r="JY2" s="0" t="s">
        <v>757</v>
      </c>
      <c r="JZ2" s="11" t="n">
        <v>44929</v>
      </c>
      <c r="KA2" s="6" t="s">
        <f>=1028.37</f>
      </c>
      <c r="KB2" s="0" t="s">
        <v>757</v>
      </c>
      <c r="KC2" s="11" t="n">
        <v>45541</v>
      </c>
      <c r="KD2" s="6" t="s">
        <f>=823.95</f>
      </c>
      <c r="KE2" s="0" t="s">
        <v>757</v>
      </c>
      <c r="KF2" s="11" t="n">
        <v>45541</v>
      </c>
      <c r="KG2" s="6" t="s">
        <f>=798.02</f>
      </c>
      <c r="KH2" s="0" t="s">
        <v>757</v>
      </c>
      <c r="KI2" s="11" t="n">
        <v>45776</v>
      </c>
      <c r="KJ2" s="6" t="s">
        <f>=831.81</f>
      </c>
      <c r="KK2" s="0" t="s">
        <v>757</v>
      </c>
      <c r="KL2" s="11" t="n">
        <v>45541</v>
      </c>
      <c r="KM2" s="6" t="s">
        <f>=737.17</f>
      </c>
      <c r="KN2" s="0" t="s">
        <v>757</v>
      </c>
      <c r="KO2" s="11" t="n">
        <v>44860</v>
      </c>
      <c r="KP2" s="6" t="s">
        <f>=913.22</f>
      </c>
      <c r="KQ2" s="0" t="s">
        <v>757</v>
      </c>
      <c r="KR2" s="11" t="n">
        <v>45267</v>
      </c>
      <c r="KS2" s="6" t="s">
        <f>=995.68</f>
      </c>
      <c r="KT2" s="0" t="s">
        <v>757</v>
      </c>
      <c r="KU2" s="11" t="n">
        <v>45026</v>
      </c>
      <c r="KV2" s="6" t="s">
        <f>=566.27</f>
      </c>
      <c r="KW2" s="0" t="s">
        <v>757</v>
      </c>
      <c r="KX2" s="11" t="n">
        <v>45356</v>
      </c>
      <c r="KY2" s="6" t="s">
        <f>=264.52</f>
      </c>
      <c r="KZ2" s="0" t="s">
        <v>757</v>
      </c>
      <c r="LA2" s="11" t="n">
        <v>45356</v>
      </c>
      <c r="LB2" s="6" t="s">
        <f>=587.34</f>
      </c>
      <c r="LC2" s="0" t="s">
        <v>757</v>
      </c>
      <c r="LD2" s="11" t="n">
        <v>44694</v>
      </c>
      <c r="LE2" s="6" t="s">
        <f>=842.45</f>
      </c>
      <c r="LF2" s="0" t="s">
        <v>757</v>
      </c>
    </row>
    <row collapsed="false" customFormat="false" customHeight="false" hidden="false" ht="12.1" outlineLevel="0" r="3">
      <c r="A3" s="11" t="n">
        <v>44950</v>
      </c>
      <c r="B3" s="6" t="n">
        <v>1547.53</v>
      </c>
      <c r="C3" s="0" t="s">
        <v>757</v>
      </c>
      <c r="D3" s="11" t="n">
        <v>45751</v>
      </c>
      <c r="E3" s="6" t="n">
        <v>9666.11</v>
      </c>
      <c r="F3" s="0" t="s">
        <v>757</v>
      </c>
      <c r="G3" s="11" t="n">
        <v>45639</v>
      </c>
      <c r="H3" s="6" t="n">
        <v>-1301.75</v>
      </c>
      <c r="I3" s="0" t="s">
        <v>650</v>
      </c>
      <c r="J3" s="11" t="n">
        <v>44984</v>
      </c>
      <c r="K3" s="6" t="n">
        <v>1678.82</v>
      </c>
      <c r="L3" s="0" t="s">
        <v>757</v>
      </c>
      <c r="M3" s="11" t="n">
        <v>44845</v>
      </c>
      <c r="N3" s="6" t="n">
        <v>-510.3</v>
      </c>
      <c r="O3" s="0" t="s">
        <v>352</v>
      </c>
      <c r="P3" s="11" t="n">
        <v>44845</v>
      </c>
      <c r="Q3" s="6" t="n">
        <v>-32.71</v>
      </c>
      <c r="R3" s="0" t="s">
        <v>351</v>
      </c>
      <c r="S3" s="11" t="n">
        <v>45324</v>
      </c>
      <c r="T3" s="6" t="n">
        <v>728.28</v>
      </c>
      <c r="U3" s="0" t="s">
        <v>757</v>
      </c>
      <c r="V3" s="11" t="n">
        <v>45093</v>
      </c>
      <c r="W3" s="6" t="n">
        <v>-48.4</v>
      </c>
      <c r="X3" s="0" t="s">
        <v>417</v>
      </c>
      <c r="Y3" s="11" t="n">
        <v>45127</v>
      </c>
      <c r="Z3" s="6" t="n">
        <v>-80</v>
      </c>
      <c r="AA3" s="0" t="s">
        <v>424</v>
      </c>
      <c r="AB3" s="11" t="n">
        <v>44984</v>
      </c>
      <c r="AC3" s="6" t="n">
        <v>342.17</v>
      </c>
      <c r="AD3" s="0" t="s">
        <v>757</v>
      </c>
      <c r="AE3" s="11" t="n">
        <v>44984</v>
      </c>
      <c r="AF3" s="6" t="n">
        <v>164.74</v>
      </c>
      <c r="AG3" s="0" t="s">
        <v>757</v>
      </c>
      <c r="AH3" s="11" t="n">
        <v>45489</v>
      </c>
      <c r="AI3" s="6" t="n">
        <v>-350</v>
      </c>
      <c r="AJ3" s="0" t="s">
        <v>561</v>
      </c>
      <c r="AK3" s="11" t="n">
        <v>45104</v>
      </c>
      <c r="AL3" s="6" t="n">
        <v>420.06</v>
      </c>
      <c r="AM3" s="0" t="s">
        <v>757</v>
      </c>
      <c r="AN3" s="11" t="n">
        <v>45782</v>
      </c>
      <c r="AO3" s="6" t="n">
        <v>-297.2</v>
      </c>
      <c r="AP3" s="0" t="s">
        <v>725</v>
      </c>
      <c r="AQ3" s="11" t="n">
        <v>45126</v>
      </c>
      <c r="AR3" s="6" t="n">
        <v>-41</v>
      </c>
      <c r="AS3" s="0" t="s">
        <v>422</v>
      </c>
      <c r="AT3" s="11" t="n">
        <v>45104</v>
      </c>
      <c r="AU3" s="6" t="n">
        <v>728.18</v>
      </c>
      <c r="AV3" s="0" t="s">
        <v>757</v>
      </c>
      <c r="AW3" s="11" t="n">
        <v>45962</v>
      </c>
      <c r="AX3" s="8" t="s">
        <f>=-Портфель!J18</f>
      </c>
      <c r="AY3" s="0" t="s">
        <v>758</v>
      </c>
      <c r="AZ3" s="11" t="n">
        <v>45198</v>
      </c>
      <c r="BA3" s="6" t="n">
        <v>718.25</v>
      </c>
      <c r="BB3" s="0" t="s">
        <v>757</v>
      </c>
      <c r="BC3" s="11" t="n">
        <v>45127</v>
      </c>
      <c r="BD3" s="6" t="n">
        <v>-80</v>
      </c>
      <c r="BE3" s="0" t="s">
        <v>423</v>
      </c>
      <c r="BF3" s="11" t="n">
        <v>45482</v>
      </c>
      <c r="BG3" s="6" t="n">
        <v>-160.38</v>
      </c>
      <c r="BH3" s="0" t="s">
        <v>557</v>
      </c>
      <c r="BI3" s="11" t="n">
        <v>45541</v>
      </c>
      <c r="BJ3" s="6" t="n">
        <v>1056.56</v>
      </c>
      <c r="BK3" s="0" t="s">
        <v>757</v>
      </c>
      <c r="BL3" s="11" t="n">
        <v>45493</v>
      </c>
      <c r="BM3" s="6" t="n">
        <v>-112.7</v>
      </c>
      <c r="BN3" s="0" t="s">
        <v>565</v>
      </c>
      <c r="BO3" s="11" t="n">
        <v>45810</v>
      </c>
      <c r="BP3" s="8" t="s">
        <f>=-Портфель!J24</f>
      </c>
      <c r="BQ3" s="0" t="s">
        <v>758</v>
      </c>
      <c r="BR3" s="11" t="n">
        <v>45356</v>
      </c>
      <c r="BS3" s="6" t="n">
        <v>1235.9</v>
      </c>
      <c r="BT3" s="0" t="s">
        <v>757</v>
      </c>
      <c r="BU3" s="11" t="n">
        <v>46094</v>
      </c>
      <c r="BV3" s="8" t="s">
        <f>=-Портфель!J26</f>
      </c>
      <c r="BW3" s="0" t="s">
        <v>758</v>
      </c>
      <c r="BX3" s="11" t="n">
        <v>44843</v>
      </c>
      <c r="BY3" s="6" t="n">
        <v>-45</v>
      </c>
      <c r="BZ3" s="0" t="s">
        <v>350</v>
      </c>
      <c r="CA3" s="11" t="n">
        <v>44746</v>
      </c>
      <c r="CB3" s="6" t="n">
        <v>321.31</v>
      </c>
      <c r="CC3" s="0" t="s">
        <v>757</v>
      </c>
      <c r="CD3" s="11" t="n">
        <v>45118</v>
      </c>
      <c r="CE3" s="6" t="n">
        <v>-50.254795</v>
      </c>
      <c r="CF3" s="0" t="s">
        <v>420</v>
      </c>
      <c r="CG3" s="11" t="n">
        <v>45541</v>
      </c>
      <c r="CH3" s="6" t="n">
        <v>302.1</v>
      </c>
      <c r="CI3" s="0" t="s">
        <v>757</v>
      </c>
      <c r="CJ3" s="11" t="n">
        <v>45584</v>
      </c>
      <c r="CK3" s="6" t="n">
        <v>-24.9</v>
      </c>
      <c r="CL3" s="0" t="s">
        <v>616</v>
      </c>
      <c r="CM3" s="11" t="n">
        <v>44776</v>
      </c>
      <c r="CN3" s="6" t="s">
        <f>=-30.42</f>
      </c>
      <c r="CO3" s="0" t="s">
        <v>345</v>
      </c>
      <c r="CP3" s="11" t="n">
        <v>44746</v>
      </c>
      <c r="CQ3" s="6" t="s">
        <f>=1111.02</f>
      </c>
      <c r="CR3" s="0" t="s">
        <v>757</v>
      </c>
      <c r="CS3" s="11" t="n">
        <v>44950</v>
      </c>
      <c r="CT3" s="6" t="s">
        <f>=761.14</f>
      </c>
      <c r="CU3" s="0" t="s">
        <v>757</v>
      </c>
      <c r="CV3" s="11" t="n">
        <v>44881</v>
      </c>
      <c r="CW3" s="6" t="s">
        <f>=-68.71</f>
      </c>
      <c r="CX3" s="0" t="s">
        <v>359</v>
      </c>
      <c r="CY3" s="11" t="n">
        <v>44950</v>
      </c>
      <c r="CZ3" s="6" t="s">
        <f>=805.19</f>
      </c>
      <c r="DA3" s="0" t="s">
        <v>757</v>
      </c>
      <c r="DB3" s="11" t="n">
        <v>44950</v>
      </c>
      <c r="DC3" s="6" t="s">
        <f>=837.75</f>
      </c>
      <c r="DD3" s="0" t="s">
        <v>757</v>
      </c>
      <c r="DE3" s="11" t="n">
        <v>45061</v>
      </c>
      <c r="DF3" s="6" t="s">
        <f>=897.96</f>
      </c>
      <c r="DG3" s="0" t="s">
        <v>757</v>
      </c>
      <c r="DH3" s="11" t="n">
        <v>44825</v>
      </c>
      <c r="DI3" s="6" t="s">
        <f>=-29.42</f>
      </c>
      <c r="DJ3" s="0" t="s">
        <v>347</v>
      </c>
      <c r="DK3" s="11" t="n">
        <v>45266</v>
      </c>
      <c r="DL3" s="6" t="s">
        <f>=-135.33</f>
      </c>
      <c r="DM3" s="0" t="s">
        <v>469</v>
      </c>
      <c r="DN3" s="11" t="n">
        <v>45351</v>
      </c>
      <c r="DO3" s="6" t="s">
        <f>=888.26</f>
      </c>
      <c r="DP3" s="0" t="s">
        <v>757</v>
      </c>
      <c r="DQ3" s="11" t="n">
        <v>45356</v>
      </c>
      <c r="DR3" s="6" t="s">
        <f>=860.33</f>
      </c>
      <c r="DS3" s="0" t="s">
        <v>757</v>
      </c>
      <c r="DT3" s="11" t="n">
        <v>45630</v>
      </c>
      <c r="DU3" s="6" t="s">
        <f>=-68.13</f>
      </c>
      <c r="DV3" s="0" t="s">
        <v>639</v>
      </c>
      <c r="DW3" s="11" t="n">
        <v>45021</v>
      </c>
      <c r="DX3" s="6" t="s">
        <f>=-38.39</f>
      </c>
      <c r="DY3" s="0" t="s">
        <v>391</v>
      </c>
      <c r="DZ3" s="11" t="n">
        <v>44868</v>
      </c>
      <c r="EA3" s="6" t="s">
        <f>=856.43</f>
      </c>
      <c r="EB3" s="0" t="s">
        <v>757</v>
      </c>
      <c r="EC3" s="11" t="n">
        <v>45351</v>
      </c>
      <c r="ED3" s="6" t="s">
        <f>=983.28</f>
      </c>
      <c r="EE3" s="0" t="s">
        <v>757</v>
      </c>
      <c r="EF3" s="11" t="n">
        <v>44950</v>
      </c>
      <c r="EG3" s="6" t="s">
        <f>=1081.49</f>
      </c>
      <c r="EH3" s="0" t="s">
        <v>757</v>
      </c>
      <c r="EI3" s="11" t="n">
        <v>45702</v>
      </c>
      <c r="EJ3" s="6" t="s">
        <f>=886.67</f>
      </c>
      <c r="EK3" s="0" t="s">
        <v>757</v>
      </c>
      <c r="EL3" s="11" t="n">
        <v>45623</v>
      </c>
      <c r="EM3" s="6" t="s">
        <f>=-65.78</f>
      </c>
      <c r="EN3" s="0" t="s">
        <v>634</v>
      </c>
      <c r="EO3" s="11" t="n">
        <v>45026</v>
      </c>
      <c r="EP3" s="6" t="s">
        <f>=1027.73</f>
      </c>
      <c r="EQ3" s="0" t="s">
        <v>757</v>
      </c>
      <c r="ER3" s="11" t="n">
        <v>45014</v>
      </c>
      <c r="ES3" s="6" t="s">
        <f>=-14.58</f>
      </c>
      <c r="ET3" s="0" t="s">
        <v>389</v>
      </c>
      <c r="EU3" s="11" t="n">
        <v>45714</v>
      </c>
      <c r="EV3" s="6" t="s">
        <f>=855.98</f>
      </c>
      <c r="EW3" s="0" t="s">
        <v>757</v>
      </c>
      <c r="EX3" s="11" t="n">
        <v>45447</v>
      </c>
      <c r="EY3" s="6" t="s">
        <f>=822.25</f>
      </c>
      <c r="EZ3" s="0" t="s">
        <v>757</v>
      </c>
      <c r="FA3" s="11" t="n">
        <v>45504</v>
      </c>
      <c r="FB3" s="6" t="s">
        <f>=-34.41</f>
      </c>
      <c r="FC3" s="0" t="s">
        <v>577</v>
      </c>
      <c r="FD3" s="11" t="n">
        <v>45670</v>
      </c>
      <c r="FE3" s="6" t="s">
        <f>=830.27</f>
      </c>
      <c r="FF3" s="0" t="s">
        <v>757</v>
      </c>
      <c r="FG3" s="11" t="n">
        <v>45670</v>
      </c>
      <c r="FH3" s="6" t="s">
        <f>=885.54</f>
      </c>
      <c r="FI3" s="0" t="s">
        <v>757</v>
      </c>
      <c r="FJ3" s="11" t="n">
        <v>45511</v>
      </c>
      <c r="FK3" s="6" t="s">
        <f>=-37.64</f>
      </c>
      <c r="FL3" s="0" t="s">
        <v>583</v>
      </c>
      <c r="FM3" s="11" t="n">
        <v>45622</v>
      </c>
      <c r="FN3" s="6" t="s">
        <f>=-24.93</f>
      </c>
      <c r="FO3" s="0" t="s">
        <v>631</v>
      </c>
      <c r="FP3" s="11" t="n">
        <v>45308</v>
      </c>
      <c r="FQ3" s="6" t="s">
        <f>=-44.88</f>
      </c>
      <c r="FR3" s="0" t="s">
        <v>482</v>
      </c>
      <c r="FS3" s="11" t="n">
        <v>45471</v>
      </c>
      <c r="FT3" s="6" t="s">
        <f>=1016.68</f>
      </c>
      <c r="FU3" s="0" t="s">
        <v>757</v>
      </c>
      <c r="FV3" s="11" t="n">
        <v>45158</v>
      </c>
      <c r="FW3" s="6" t="s">
        <f>=-15</f>
      </c>
      <c r="FX3" s="0" t="s">
        <v>437</v>
      </c>
      <c r="FY3" s="11" t="n">
        <v>45084</v>
      </c>
      <c r="FZ3" s="6" t="s">
        <f>=-32.66</f>
      </c>
      <c r="GA3" s="0" t="s">
        <v>410</v>
      </c>
      <c r="GB3" s="11" t="n">
        <v>45503</v>
      </c>
      <c r="GC3" s="6" t="s">
        <f>=-29.17</f>
      </c>
      <c r="GD3" s="0" t="s">
        <v>574</v>
      </c>
      <c r="GE3" s="11" t="n">
        <v>45446</v>
      </c>
      <c r="GF3" s="6" t="s">
        <f>=-19.95</f>
      </c>
      <c r="GG3" s="0" t="s">
        <v>540</v>
      </c>
      <c r="GH3" s="11" t="n">
        <v>45670</v>
      </c>
      <c r="GI3" s="6" t="s">
        <f>=869.91</f>
      </c>
      <c r="GJ3" s="0" t="s">
        <v>757</v>
      </c>
      <c r="GK3" s="11" t="n">
        <v>45670</v>
      </c>
      <c r="GL3" s="6" t="s">
        <f>=860.66</f>
      </c>
      <c r="GM3" s="0" t="s">
        <v>757</v>
      </c>
      <c r="GN3" s="11" t="n">
        <v>45677</v>
      </c>
      <c r="GO3" s="6" t="s">
        <f>=-54.35</f>
      </c>
      <c r="GP3" s="0" t="s">
        <v>661</v>
      </c>
      <c r="GQ3" s="11" t="n">
        <v>45670</v>
      </c>
      <c r="GR3" s="6" t="s">
        <f>=799.64</f>
      </c>
      <c r="GS3" s="0" t="s">
        <v>757</v>
      </c>
      <c r="GT3" s="11" t="n">
        <v>45762</v>
      </c>
      <c r="GU3" s="6" t="s">
        <f>=-24.93</f>
      </c>
      <c r="GV3" s="0" t="s">
        <v>709</v>
      </c>
      <c r="GW3" s="11" t="n">
        <v>45670</v>
      </c>
      <c r="GX3" s="6" t="s">
        <f>=708.97</f>
      </c>
      <c r="GY3" s="0" t="s">
        <v>757</v>
      </c>
      <c r="GZ3" s="11" t="n">
        <v>45289</v>
      </c>
      <c r="HA3" s="6" t="s">
        <f>=-65.82</f>
      </c>
      <c r="HB3" s="0" t="s">
        <v>479</v>
      </c>
      <c r="HC3" s="11" t="n">
        <v>45785</v>
      </c>
      <c r="HD3" s="6" t="s">
        <f>=-19.11</f>
      </c>
      <c r="HE3" s="0" t="s">
        <v>729</v>
      </c>
      <c r="HF3" s="11" t="n">
        <v>45763</v>
      </c>
      <c r="HG3" s="6" t="s">
        <f>=-97.23</f>
      </c>
      <c r="HH3" s="0" t="s">
        <v>711</v>
      </c>
      <c r="HI3" s="11" t="n">
        <v>45799</v>
      </c>
      <c r="HJ3" s="6" t="s">
        <f>=-20.96</f>
      </c>
      <c r="HK3" s="0" t="s">
        <v>743</v>
      </c>
      <c r="HL3" s="11" t="n">
        <v>44993</v>
      </c>
      <c r="HM3" s="6" t="s">
        <f>=-69.51</f>
      </c>
      <c r="HN3" s="0" t="s">
        <v>383</v>
      </c>
      <c r="HO3" s="11" t="n">
        <v>45753</v>
      </c>
      <c r="HP3" s="6" t="s">
        <f>=-18.76</f>
      </c>
      <c r="HQ3" s="0" t="s">
        <v>704</v>
      </c>
      <c r="HR3" s="11" t="n">
        <v>45806</v>
      </c>
      <c r="HS3" s="6" t="s">
        <f>=-19.48</f>
      </c>
      <c r="HT3" s="0" t="s">
        <v>749</v>
      </c>
      <c r="HU3" s="11" t="n">
        <v>45372</v>
      </c>
      <c r="HV3" s="6" t="s">
        <f>=-14.54</f>
      </c>
      <c r="HW3" s="0" t="s">
        <v>505</v>
      </c>
      <c r="HX3" s="11" t="n">
        <v>45224</v>
      </c>
      <c r="HY3" s="6" t="s">
        <f>=-31.64</f>
      </c>
      <c r="HZ3" s="0" t="s">
        <v>458</v>
      </c>
      <c r="IA3" s="11" t="n">
        <v>45631</v>
      </c>
      <c r="IB3" s="6" t="s">
        <f>=-35.53</f>
      </c>
      <c r="IC3" s="0" t="s">
        <v>644</v>
      </c>
      <c r="ID3" s="11" t="n">
        <v>45762</v>
      </c>
      <c r="IE3" s="6" t="s">
        <f>=-18.84</f>
      </c>
      <c r="IF3" s="0" t="s">
        <v>708</v>
      </c>
      <c r="IG3" s="11" t="n">
        <v>45231</v>
      </c>
      <c r="IH3" s="6" t="s">
        <f>=-28.73</f>
      </c>
      <c r="II3" s="0" t="s">
        <v>460</v>
      </c>
      <c r="IJ3" s="11" t="n">
        <v>45156</v>
      </c>
      <c r="IK3" s="6" t="s">
        <f>=-51.61</f>
      </c>
      <c r="IL3" s="0" t="s">
        <v>436</v>
      </c>
      <c r="IM3" s="11" t="n">
        <v>44961</v>
      </c>
      <c r="IN3" s="6" t="s">
        <f>=-61.86</f>
      </c>
      <c r="IO3" s="0" t="s">
        <v>378</v>
      </c>
      <c r="IP3" s="11" t="n">
        <v>45265</v>
      </c>
      <c r="IQ3" s="6" t="s">
        <f>=-56.1</f>
      </c>
      <c r="IR3" s="0" t="s">
        <v>468</v>
      </c>
      <c r="IS3" s="11" t="n">
        <v>46094</v>
      </c>
      <c r="IT3" s="8" t="s">
        <f>=-Портфель!J87</f>
      </c>
      <c r="IU3" s="0" t="s">
        <v>758</v>
      </c>
      <c r="IV3" s="11" t="n">
        <v>45630</v>
      </c>
      <c r="IW3" s="6" t="s">
        <f>=-56.84</f>
      </c>
      <c r="IX3" s="0" t="s">
        <v>638</v>
      </c>
      <c r="IY3" s="11" t="n">
        <v>45629</v>
      </c>
      <c r="IZ3" s="6" t="s">
        <f>=-29.17</f>
      </c>
      <c r="JA3" s="0" t="s">
        <v>637</v>
      </c>
      <c r="JB3" s="11" t="n">
        <v>45779</v>
      </c>
      <c r="JC3" s="6" t="s">
        <f>=-59.19</f>
      </c>
      <c r="JD3" s="0" t="s">
        <v>724</v>
      </c>
      <c r="JE3" s="11" t="n">
        <v>45133</v>
      </c>
      <c r="JF3" s="6" t="s">
        <f>=-43.38</f>
      </c>
      <c r="JG3" s="0" t="s">
        <v>425</v>
      </c>
      <c r="JH3" s="11" t="n">
        <v>46035</v>
      </c>
      <c r="JI3" s="8" t="s">
        <f>=-Портфель!J92</f>
      </c>
      <c r="JJ3" s="0" t="s">
        <v>758</v>
      </c>
      <c r="JK3" s="11" t="n">
        <v>44897</v>
      </c>
      <c r="JL3" s="6" t="s">
        <f>=-24.81</f>
      </c>
      <c r="JM3" s="0" t="s">
        <v>365</v>
      </c>
      <c r="JN3" s="11" t="n">
        <v>45006</v>
      </c>
      <c r="JO3" s="6" t="s">
        <f>=-39.39</f>
      </c>
      <c r="JP3" s="0" t="s">
        <v>385</v>
      </c>
      <c r="JQ3" s="11" t="n">
        <v>45744</v>
      </c>
      <c r="JR3" s="6" t="s">
        <f>=-52.36</f>
      </c>
      <c r="JS3" s="0" t="s">
        <v>698</v>
      </c>
      <c r="JT3" s="11" t="n">
        <v>45560</v>
      </c>
      <c r="JU3" s="6" t="s">
        <f>=-11.18</f>
      </c>
      <c r="JV3" s="0" t="s">
        <v>598</v>
      </c>
      <c r="JW3" s="11" t="n">
        <v>45090</v>
      </c>
      <c r="JX3" s="6" t="s">
        <f>=-31.3</f>
      </c>
      <c r="JY3" s="0" t="s">
        <v>414</v>
      </c>
      <c r="JZ3" s="11" t="n">
        <v>44957</v>
      </c>
      <c r="KA3" s="6" t="s">
        <f>=-28.22</f>
      </c>
      <c r="KB3" s="0" t="s">
        <v>373</v>
      </c>
      <c r="KC3" s="11" t="n">
        <v>45581</v>
      </c>
      <c r="KD3" s="6" t="s">
        <f>=-26.18</f>
      </c>
      <c r="KE3" s="0" t="s">
        <v>613</v>
      </c>
      <c r="KF3" s="11" t="n">
        <v>45597</v>
      </c>
      <c r="KG3" s="6" t="s">
        <f>=-23.86</f>
      </c>
      <c r="KH3" s="0" t="s">
        <v>623</v>
      </c>
      <c r="KI3" s="11" t="n">
        <v>46141</v>
      </c>
      <c r="KJ3" s="8" t="s">
        <f>=-Портфель!J101</f>
      </c>
      <c r="KK3" s="0" t="s">
        <v>758</v>
      </c>
      <c r="KL3" s="11" t="n">
        <v>45630</v>
      </c>
      <c r="KM3" s="6" t="s">
        <f>=-19.55</f>
      </c>
      <c r="KN3" s="0" t="s">
        <v>642</v>
      </c>
      <c r="KO3" s="11" t="n">
        <v>44902</v>
      </c>
      <c r="KP3" s="6" t="s">
        <f>=-19.87</f>
      </c>
      <c r="KQ3" s="0" t="s">
        <v>367</v>
      </c>
      <c r="KR3" s="11" t="n">
        <v>45314</v>
      </c>
      <c r="KS3" s="6" t="s">
        <f>=-34.28</f>
      </c>
      <c r="KT3" s="0" t="s">
        <v>485</v>
      </c>
      <c r="KU3" s="11" t="n">
        <v>45071</v>
      </c>
      <c r="KV3" s="6" t="s">
        <f>=-10.83</f>
      </c>
      <c r="KW3" s="0" t="s">
        <v>405</v>
      </c>
      <c r="KX3" s="11" t="n">
        <v>45427</v>
      </c>
      <c r="KY3" s="6" t="s">
        <f>=-4.67</f>
      </c>
      <c r="KZ3" s="0" t="s">
        <v>527</v>
      </c>
      <c r="LA3" s="11" t="n">
        <v>45357</v>
      </c>
      <c r="LB3" s="6" t="s">
        <f>=-67</f>
      </c>
      <c r="LC3" s="0" t="s">
        <v>499</v>
      </c>
      <c r="LD3" s="11" t="n">
        <v>44748</v>
      </c>
      <c r="LE3" s="6" t="s">
        <f>=-200</f>
      </c>
      <c r="LF3" s="0" t="s">
        <v>339</v>
      </c>
    </row>
    <row collapsed="false" customFormat="false" customHeight="false" hidden="false" ht="12.1" outlineLevel="0" r="4">
      <c r="A4" s="11" t="n">
        <v>44984</v>
      </c>
      <c r="B4" s="6" t="n">
        <v>1698.68</v>
      </c>
      <c r="C4" s="0" t="s">
        <v>757</v>
      </c>
      <c r="D4" s="11" t="n">
        <v>45751</v>
      </c>
      <c r="E4" s="6" t="n">
        <v>3225.65</v>
      </c>
      <c r="F4" s="0" t="s">
        <v>757</v>
      </c>
      <c r="G4" s="11" t="n">
        <v>45772</v>
      </c>
      <c r="H4" s="6" t="n">
        <v>-730</v>
      </c>
      <c r="I4" s="0" t="s">
        <v>717</v>
      </c>
      <c r="J4" s="11" t="n">
        <v>45057</v>
      </c>
      <c r="K4" s="6" t="n">
        <v>-500</v>
      </c>
      <c r="L4" s="0" t="s">
        <v>399</v>
      </c>
      <c r="M4" s="11" t="n">
        <v>45418</v>
      </c>
      <c r="N4" s="6" t="n">
        <v>1559.06</v>
      </c>
      <c r="O4" s="0" t="s">
        <v>757</v>
      </c>
      <c r="P4" s="11" t="n">
        <v>44936</v>
      </c>
      <c r="Q4" s="6" t="n">
        <v>-6.86</v>
      </c>
      <c r="R4" s="0" t="s">
        <v>371</v>
      </c>
      <c r="S4" s="11" t="n">
        <v>45356</v>
      </c>
      <c r="T4" s="6" t="n">
        <v>1789.95</v>
      </c>
      <c r="U4" s="0" t="s">
        <v>757</v>
      </c>
      <c r="V4" s="11" t="n">
        <v>45457</v>
      </c>
      <c r="W4" s="6" t="n">
        <v>-173.5</v>
      </c>
      <c r="X4" s="0" t="s">
        <v>548</v>
      </c>
      <c r="Y4" s="11" t="n">
        <v>45491</v>
      </c>
      <c r="Z4" s="6" t="n">
        <v>-1229</v>
      </c>
      <c r="AA4" s="0" t="s">
        <v>564</v>
      </c>
      <c r="AB4" s="11" t="n">
        <v>45026</v>
      </c>
      <c r="AC4" s="6" t="n">
        <v>770.2</v>
      </c>
      <c r="AD4" s="0" t="s">
        <v>757</v>
      </c>
      <c r="AE4" s="11" t="n">
        <v>45026</v>
      </c>
      <c r="AF4" s="6" t="n">
        <v>568.55</v>
      </c>
      <c r="AG4" s="0" t="s">
        <v>757</v>
      </c>
      <c r="AH4" s="11" t="n">
        <v>45597</v>
      </c>
      <c r="AI4" s="6" t="n">
        <v>1836.99</v>
      </c>
      <c r="AJ4" s="0" t="s">
        <v>757</v>
      </c>
      <c r="AK4" s="11" t="n">
        <v>45219</v>
      </c>
      <c r="AL4" s="6" t="n">
        <v>406.72</v>
      </c>
      <c r="AM4" s="0" t="s">
        <v>757</v>
      </c>
      <c r="AN4" s="11" t="n">
        <v>46004</v>
      </c>
      <c r="AO4" s="8" t="s">
        <f>=-Портфель!J15</f>
      </c>
      <c r="AP4" s="0" t="s">
        <v>758</v>
      </c>
      <c r="AQ4" s="11" t="n">
        <v>45490</v>
      </c>
      <c r="AR4" s="6" t="n">
        <v>-52</v>
      </c>
      <c r="AS4" s="0" t="s">
        <v>562</v>
      </c>
      <c r="AT4" s="11" t="n">
        <v>45261</v>
      </c>
      <c r="AU4" s="6" t="n">
        <v>-108.93</v>
      </c>
      <c r="AV4" s="0" t="s">
        <v>467</v>
      </c>
      <c r="AW4" s="0"/>
      <c r="AX4" s="10" t="s">
        <f>=XIRR(AX2:AX3,AW2:AW3)</f>
      </c>
      <c r="AY4" s="0"/>
      <c r="AZ4" s="11" t="n">
        <v>45324</v>
      </c>
      <c r="BA4" s="6" t="n">
        <v>783.04</v>
      </c>
      <c r="BB4" s="0" t="s">
        <v>757</v>
      </c>
      <c r="BC4" s="11" t="n">
        <v>45491</v>
      </c>
      <c r="BD4" s="6" t="n">
        <v>-85</v>
      </c>
      <c r="BE4" s="0" t="s">
        <v>563</v>
      </c>
      <c r="BF4" s="11" t="n">
        <v>45836</v>
      </c>
      <c r="BG4" s="8" t="s">
        <f>=-Портфель!J21</f>
      </c>
      <c r="BH4" s="0" t="s">
        <v>758</v>
      </c>
      <c r="BI4" s="11" t="n">
        <v>45810</v>
      </c>
      <c r="BJ4" s="8" t="s">
        <f>=-Портфель!J22</f>
      </c>
      <c r="BK4" s="0" t="s">
        <v>758</v>
      </c>
      <c r="BL4" s="11" t="n">
        <v>45541</v>
      </c>
      <c r="BM4" s="6" t="n">
        <v>903.2</v>
      </c>
      <c r="BN4" s="0" t="s">
        <v>757</v>
      </c>
      <c r="BO4" s="0"/>
      <c r="BP4" s="10" t="s">
        <f>=XIRR(BP2:BP3,BO2:BO3)</f>
      </c>
      <c r="BQ4" s="0"/>
      <c r="BR4" s="11" t="n">
        <v>45810</v>
      </c>
      <c r="BS4" s="8" t="s">
        <f>=-Портфель!J25</f>
      </c>
      <c r="BT4" s="0" t="s">
        <v>758</v>
      </c>
      <c r="BU4" s="0"/>
      <c r="BV4" s="10" t="s">
        <f>=XIRR(BV2:BV3,BU2:BU3)</f>
      </c>
      <c r="BW4" s="0"/>
      <c r="BX4" s="11" t="n">
        <v>45049</v>
      </c>
      <c r="BY4" s="6" t="n">
        <v>-60.58</v>
      </c>
      <c r="BZ4" s="0" t="s">
        <v>398</v>
      </c>
      <c r="CA4" s="11" t="n">
        <v>44776</v>
      </c>
      <c r="CB4" s="6" t="n">
        <v>243.43</v>
      </c>
      <c r="CC4" s="0" t="s">
        <v>757</v>
      </c>
      <c r="CD4" s="11" t="n">
        <v>45506</v>
      </c>
      <c r="CE4" s="6" t="n">
        <v>598.89</v>
      </c>
      <c r="CF4" s="0" t="s">
        <v>757</v>
      </c>
      <c r="CG4" s="11" t="n">
        <v>45836</v>
      </c>
      <c r="CH4" s="8" t="s">
        <f>=-Портфель!J30</f>
      </c>
      <c r="CI4" s="0" t="s">
        <v>758</v>
      </c>
      <c r="CJ4" s="11" t="n">
        <v>45836</v>
      </c>
      <c r="CK4" s="8" t="s">
        <f>=-Портфель!J31</f>
      </c>
      <c r="CL4" s="0" t="s">
        <v>758</v>
      </c>
      <c r="CM4" s="11" t="n">
        <v>44868</v>
      </c>
      <c r="CN4" s="6" t="s">
        <f>=742.71</f>
      </c>
      <c r="CO4" s="0" t="s">
        <v>757</v>
      </c>
      <c r="CP4" s="11" t="n">
        <v>44916</v>
      </c>
      <c r="CQ4" s="6" t="s">
        <f>=-145.9</f>
      </c>
      <c r="CR4" s="0" t="s">
        <v>369</v>
      </c>
      <c r="CS4" s="11" t="n">
        <v>45006</v>
      </c>
      <c r="CT4" s="6" t="s">
        <f>=756.65</f>
      </c>
      <c r="CU4" s="0" t="s">
        <v>757</v>
      </c>
      <c r="CV4" s="11" t="n">
        <v>44903</v>
      </c>
      <c r="CW4" s="6" t="s">
        <f>=1057.94</f>
      </c>
      <c r="CX4" s="0" t="s">
        <v>757</v>
      </c>
      <c r="CY4" s="11" t="n">
        <v>44972</v>
      </c>
      <c r="CZ4" s="6" t="s">
        <f>=-69.8</f>
      </c>
      <c r="DA4" s="0" t="s">
        <v>380</v>
      </c>
      <c r="DB4" s="11" t="n">
        <v>45006</v>
      </c>
      <c r="DC4" s="6" t="s">
        <f>=831.77</f>
      </c>
      <c r="DD4" s="0" t="s">
        <v>757</v>
      </c>
      <c r="DE4" s="11" t="n">
        <v>45217</v>
      </c>
      <c r="DF4" s="6" t="s">
        <f>=-76.3</f>
      </c>
      <c r="DG4" s="0" t="s">
        <v>454</v>
      </c>
      <c r="DH4" s="11" t="n">
        <v>44868</v>
      </c>
      <c r="DI4" s="6" t="s">
        <f>=790.02</f>
      </c>
      <c r="DJ4" s="0" t="s">
        <v>757</v>
      </c>
      <c r="DK4" s="11" t="n">
        <v>45303</v>
      </c>
      <c r="DL4" s="6" t="s">
        <f>=1742.59</f>
      </c>
      <c r="DM4" s="0" t="s">
        <v>757</v>
      </c>
      <c r="DN4" s="11" t="n">
        <v>45356</v>
      </c>
      <c r="DO4" s="6" t="s">
        <f>=882.57</f>
      </c>
      <c r="DP4" s="0" t="s">
        <v>757</v>
      </c>
      <c r="DQ4" s="11" t="n">
        <v>45378</v>
      </c>
      <c r="DR4" s="6" t="s">
        <f>=-84.76</f>
      </c>
      <c r="DS4" s="0" t="s">
        <v>512</v>
      </c>
      <c r="DT4" s="11" t="n">
        <v>45702</v>
      </c>
      <c r="DU4" s="6" t="s">
        <f>=856.46</f>
      </c>
      <c r="DV4" s="0" t="s">
        <v>757</v>
      </c>
      <c r="DW4" s="11" t="n">
        <v>45203</v>
      </c>
      <c r="DX4" s="6" t="s">
        <f>=-38.39</f>
      </c>
      <c r="DY4" s="0" t="s">
        <v>391</v>
      </c>
      <c r="DZ4" s="11" t="n">
        <v>44888</v>
      </c>
      <c r="EA4" s="6" t="s">
        <f>=-72.3</f>
      </c>
      <c r="EB4" s="0" t="s">
        <v>362</v>
      </c>
      <c r="EC4" s="11" t="n">
        <v>45356</v>
      </c>
      <c r="ED4" s="6" t="s">
        <f>=975.29</f>
      </c>
      <c r="EE4" s="0" t="s">
        <v>757</v>
      </c>
      <c r="EF4" s="11" t="n">
        <v>45028</v>
      </c>
      <c r="EG4" s="6" t="s">
        <f>=-116.68</f>
      </c>
      <c r="EH4" s="0" t="s">
        <v>395</v>
      </c>
      <c r="EI4" s="11" t="n">
        <v>45714</v>
      </c>
      <c r="EJ4" s="6" t="s">
        <f>=858.07</f>
      </c>
      <c r="EK4" s="0" t="s">
        <v>757</v>
      </c>
      <c r="EL4" s="11" t="n">
        <v>45702</v>
      </c>
      <c r="EM4" s="6" t="s">
        <f>=864.43</f>
      </c>
      <c r="EN4" s="0" t="s">
        <v>757</v>
      </c>
      <c r="EO4" s="11" t="n">
        <v>45114</v>
      </c>
      <c r="EP4" s="6" t="s">
        <f>=1988.71</f>
      </c>
      <c r="EQ4" s="0" t="s">
        <v>757</v>
      </c>
      <c r="ER4" s="11" t="n">
        <v>45026</v>
      </c>
      <c r="ES4" s="6" t="s">
        <f>=1141.72</f>
      </c>
      <c r="ET4" s="0" t="s">
        <v>757</v>
      </c>
      <c r="EU4" s="11" t="n">
        <v>45714</v>
      </c>
      <c r="EV4" s="6" t="s">
        <f>=855.98</f>
      </c>
      <c r="EW4" s="0" t="s">
        <v>757</v>
      </c>
      <c r="EX4" s="11" t="n">
        <v>45447</v>
      </c>
      <c r="EY4" s="6" t="s">
        <f>=819.83</f>
      </c>
      <c r="EZ4" s="0" t="s">
        <v>757</v>
      </c>
      <c r="FA4" s="11" t="n">
        <v>45506</v>
      </c>
      <c r="FB4" s="6" t="s">
        <f>=646.87</f>
      </c>
      <c r="FC4" s="0" t="s">
        <v>757</v>
      </c>
      <c r="FD4" s="11" t="n">
        <v>45670</v>
      </c>
      <c r="FE4" s="6" t="s">
        <f>=829.97</f>
      </c>
      <c r="FF4" s="0" t="s">
        <v>757</v>
      </c>
      <c r="FG4" s="11" t="n">
        <v>45670</v>
      </c>
      <c r="FH4" s="6" t="s">
        <f>=885.54</f>
      </c>
      <c r="FI4" s="0" t="s">
        <v>757</v>
      </c>
      <c r="FJ4" s="11" t="n">
        <v>45693</v>
      </c>
      <c r="FK4" s="6" t="s">
        <f>=-39.16</f>
      </c>
      <c r="FL4" s="0" t="s">
        <v>675</v>
      </c>
      <c r="FM4" s="11" t="n">
        <v>45670</v>
      </c>
      <c r="FN4" s="6" t="s">
        <f>=809</f>
      </c>
      <c r="FO4" s="0" t="s">
        <v>757</v>
      </c>
      <c r="FP4" s="11" t="n">
        <v>45490</v>
      </c>
      <c r="FQ4" s="6" t="s">
        <f>=-44.88</f>
      </c>
      <c r="FR4" s="0" t="s">
        <v>482</v>
      </c>
      <c r="FS4" s="11" t="n">
        <v>45502</v>
      </c>
      <c r="FT4" s="6" t="s">
        <f>=-28.1</f>
      </c>
      <c r="FU4" s="0" t="s">
        <v>572</v>
      </c>
      <c r="FV4" s="11" t="n">
        <v>45189</v>
      </c>
      <c r="FW4" s="6" t="s">
        <f>=-16.48</f>
      </c>
      <c r="FX4" s="0" t="s">
        <v>443</v>
      </c>
      <c r="FY4" s="11" t="n">
        <v>45266</v>
      </c>
      <c r="FZ4" s="6" t="s">
        <f>=-32.66</f>
      </c>
      <c r="GA4" s="0" t="s">
        <v>410</v>
      </c>
      <c r="GB4" s="11" t="n">
        <v>45541</v>
      </c>
      <c r="GC4" s="6" t="s">
        <f>=860.88</f>
      </c>
      <c r="GD4" s="0" t="s">
        <v>757</v>
      </c>
      <c r="GE4" s="11" t="n">
        <v>45471</v>
      </c>
      <c r="GF4" s="6" t="s">
        <f>=825.99</f>
      </c>
      <c r="GG4" s="0" t="s">
        <v>757</v>
      </c>
      <c r="GH4" s="11" t="n">
        <v>45709</v>
      </c>
      <c r="GI4" s="6" t="s">
        <f>=-89.76</f>
      </c>
      <c r="GJ4" s="0" t="s">
        <v>679</v>
      </c>
      <c r="GK4" s="11" t="n">
        <v>45740</v>
      </c>
      <c r="GL4" s="6" t="s">
        <f>=-90.76</f>
      </c>
      <c r="GM4" s="0" t="s">
        <v>690</v>
      </c>
      <c r="GN4" s="11" t="n">
        <v>45776</v>
      </c>
      <c r="GO4" s="6" t="s">
        <f>=821.33</f>
      </c>
      <c r="GP4" s="0" t="s">
        <v>757</v>
      </c>
      <c r="GQ4" s="11" t="n">
        <v>45786</v>
      </c>
      <c r="GR4" s="6" t="s">
        <f>=-90.76</f>
      </c>
      <c r="GS4" s="0" t="s">
        <v>730</v>
      </c>
      <c r="GT4" s="11" t="n">
        <v>45776</v>
      </c>
      <c r="GU4" s="6" t="s">
        <f>=784.54</f>
      </c>
      <c r="GV4" s="0" t="s">
        <v>757</v>
      </c>
      <c r="GW4" s="11" t="n">
        <v>45730</v>
      </c>
      <c r="GX4" s="6" t="s">
        <f>=-35.66</f>
      </c>
      <c r="GY4" s="0" t="s">
        <v>687</v>
      </c>
      <c r="GZ4" s="11" t="n">
        <v>45470</v>
      </c>
      <c r="HA4" s="6" t="s">
        <f>=-400</f>
      </c>
      <c r="HB4" s="0" t="s">
        <v>555</v>
      </c>
      <c r="HC4" s="11" t="n">
        <v>46141</v>
      </c>
      <c r="HD4" s="8" t="s">
        <f>=-Портфель!J73</f>
      </c>
      <c r="HE4" s="0" t="s">
        <v>758</v>
      </c>
      <c r="HF4" s="11" t="n">
        <v>46094</v>
      </c>
      <c r="HG4" s="8" t="s">
        <f>=-Портфель!J74</f>
      </c>
      <c r="HH4" s="0" t="s">
        <v>758</v>
      </c>
      <c r="HI4" s="11" t="n">
        <v>46141</v>
      </c>
      <c r="HJ4" s="8" t="s">
        <f>=-Портфель!J75</f>
      </c>
      <c r="HK4" s="0" t="s">
        <v>758</v>
      </c>
      <c r="HL4" s="11" t="n">
        <v>45175</v>
      </c>
      <c r="HM4" s="6" t="s">
        <f>=-43.33</f>
      </c>
      <c r="HN4" s="0" t="s">
        <v>441</v>
      </c>
      <c r="HO4" s="11" t="n">
        <v>45784</v>
      </c>
      <c r="HP4" s="6" t="s">
        <f>=-19.24</f>
      </c>
      <c r="HQ4" s="0" t="s">
        <v>728</v>
      </c>
      <c r="HR4" s="11" t="n">
        <v>46141</v>
      </c>
      <c r="HS4" s="8" t="s">
        <f>=-Портфель!J78</f>
      </c>
      <c r="HT4" s="0" t="s">
        <v>758</v>
      </c>
      <c r="HU4" s="11" t="n">
        <v>45403</v>
      </c>
      <c r="HV4" s="6" t="s">
        <f>=-14.43</f>
      </c>
      <c r="HW4" s="0" t="s">
        <v>520</v>
      </c>
      <c r="HX4" s="11" t="n">
        <v>45315</v>
      </c>
      <c r="HY4" s="6" t="s">
        <f>=-40.7</f>
      </c>
      <c r="HZ4" s="0" t="s">
        <v>486</v>
      </c>
      <c r="IA4" s="11" t="n">
        <v>45722</v>
      </c>
      <c r="IB4" s="6" t="s">
        <f>=-35.53</f>
      </c>
      <c r="IC4" s="0" t="s">
        <v>644</v>
      </c>
      <c r="ID4" s="11" t="n">
        <v>45793</v>
      </c>
      <c r="IE4" s="6" t="s">
        <f>=-19.21</f>
      </c>
      <c r="IF4" s="0" t="s">
        <v>736</v>
      </c>
      <c r="IG4" s="11" t="n">
        <v>45322</v>
      </c>
      <c r="IH4" s="6" t="s">
        <f>=-37.33</f>
      </c>
      <c r="II4" s="0" t="s">
        <v>493</v>
      </c>
      <c r="IJ4" s="11" t="n">
        <v>45338</v>
      </c>
      <c r="IK4" s="6" t="s">
        <f>=-51.61</f>
      </c>
      <c r="IL4" s="0" t="s">
        <v>436</v>
      </c>
      <c r="IM4" s="11" t="n">
        <v>45143</v>
      </c>
      <c r="IN4" s="6" t="s">
        <f>=-53.1</f>
      </c>
      <c r="IO4" s="0" t="s">
        <v>434</v>
      </c>
      <c r="IP4" s="11" t="n">
        <v>45447</v>
      </c>
      <c r="IQ4" s="6" t="s">
        <f>=-56.1</f>
      </c>
      <c r="IR4" s="0" t="s">
        <v>468</v>
      </c>
      <c r="IS4" s="0"/>
      <c r="IT4" s="10" t="s">
        <f>=XIRR(IT2:IT3,IS2:IS3)</f>
      </c>
      <c r="IU4" s="0"/>
      <c r="IV4" s="11" t="n">
        <v>45906</v>
      </c>
      <c r="IW4" s="8" t="s">
        <f>=-Портфель!J88</f>
      </c>
      <c r="IX4" s="0" t="s">
        <v>758</v>
      </c>
      <c r="IY4" s="11" t="n">
        <v>45720</v>
      </c>
      <c r="IZ4" s="6" t="s">
        <f>=-29.17</f>
      </c>
      <c r="JA4" s="0" t="s">
        <v>637</v>
      </c>
      <c r="JB4" s="11" t="n">
        <v>46094</v>
      </c>
      <c r="JC4" s="8" t="s">
        <f>=-Портфель!J90</f>
      </c>
      <c r="JD4" s="0" t="s">
        <v>758</v>
      </c>
      <c r="JE4" s="11" t="n">
        <v>45315</v>
      </c>
      <c r="JF4" s="6" t="s">
        <f>=-43.38</f>
      </c>
      <c r="JG4" s="0" t="s">
        <v>425</v>
      </c>
      <c r="JH4" s="0"/>
      <c r="JI4" s="10" t="s">
        <f>=XIRR(JI2:JI3,JH2:JH3)</f>
      </c>
      <c r="JJ4" s="0"/>
      <c r="JK4" s="11" t="n">
        <v>44988</v>
      </c>
      <c r="JL4" s="6" t="s">
        <f>=-24.81</f>
      </c>
      <c r="JM4" s="0" t="s">
        <v>365</v>
      </c>
      <c r="JN4" s="11" t="n">
        <v>45188</v>
      </c>
      <c r="JO4" s="6" t="s">
        <f>=-39.39</f>
      </c>
      <c r="JP4" s="0" t="s">
        <v>385</v>
      </c>
      <c r="JQ4" s="11" t="n">
        <v>46094</v>
      </c>
      <c r="JR4" s="8" t="s">
        <f>=-Портфель!J95</f>
      </c>
      <c r="JS4" s="0" t="s">
        <v>758</v>
      </c>
      <c r="JT4" s="11" t="n">
        <v>45590</v>
      </c>
      <c r="JU4" s="6" t="s">
        <f>=-11.18</f>
      </c>
      <c r="JV4" s="0" t="s">
        <v>598</v>
      </c>
      <c r="JW4" s="11" t="n">
        <v>45271</v>
      </c>
      <c r="JX4" s="6" t="s">
        <f>=-35</f>
      </c>
      <c r="JY4" s="0" t="s">
        <v>473</v>
      </c>
      <c r="JZ4" s="11" t="n">
        <v>45048</v>
      </c>
      <c r="KA4" s="6" t="s">
        <f>=-28.22</f>
      </c>
      <c r="KB4" s="0" t="s">
        <v>373</v>
      </c>
      <c r="KC4" s="11" t="n">
        <v>45672</v>
      </c>
      <c r="KD4" s="6" t="s">
        <f>=-26.18</f>
      </c>
      <c r="KE4" s="0" t="s">
        <v>613</v>
      </c>
      <c r="KF4" s="11" t="n">
        <v>45688</v>
      </c>
      <c r="KG4" s="6" t="s">
        <f>=-23.86</f>
      </c>
      <c r="KH4" s="0" t="s">
        <v>623</v>
      </c>
      <c r="KI4" s="0"/>
      <c r="KJ4" s="10" t="s">
        <f>=XIRR(KJ2:KJ3,KI2:KI3)</f>
      </c>
      <c r="KK4" s="0"/>
      <c r="KL4" s="11" t="n">
        <v>45721</v>
      </c>
      <c r="KM4" s="6" t="s">
        <f>=-19.55</f>
      </c>
      <c r="KN4" s="0" t="s">
        <v>642</v>
      </c>
      <c r="KO4" s="11" t="n">
        <v>44993</v>
      </c>
      <c r="KP4" s="6" t="s">
        <f>=-19.87</f>
      </c>
      <c r="KQ4" s="0" t="s">
        <v>367</v>
      </c>
      <c r="KR4" s="11" t="n">
        <v>45405</v>
      </c>
      <c r="KS4" s="6" t="s">
        <f>=-34.28</f>
      </c>
      <c r="KT4" s="0" t="s">
        <v>485</v>
      </c>
      <c r="KU4" s="11" t="n">
        <v>45162</v>
      </c>
      <c r="KV4" s="6" t="s">
        <f>=-10.83</f>
      </c>
      <c r="KW4" s="0" t="s">
        <v>405</v>
      </c>
      <c r="KX4" s="11" t="n">
        <v>45518</v>
      </c>
      <c r="KY4" s="6" t="s">
        <f>=-4.67</f>
      </c>
      <c r="KZ4" s="0" t="s">
        <v>527</v>
      </c>
      <c r="LA4" s="11" t="n">
        <v>45358</v>
      </c>
      <c r="LB4" s="6" t="s">
        <f>=-14.76</f>
      </c>
      <c r="LC4" s="0" t="s">
        <v>501</v>
      </c>
      <c r="LD4" s="11" t="n">
        <v>44749</v>
      </c>
      <c r="LE4" s="6" t="s">
        <f>=-27.92</f>
      </c>
      <c r="LF4" s="0" t="s">
        <v>340</v>
      </c>
    </row>
    <row collapsed="false" customFormat="false" customHeight="false" hidden="false" ht="12.1" outlineLevel="0" r="5">
      <c r="A5" s="11" t="n">
        <v>45056</v>
      </c>
      <c r="B5" s="6" t="n">
        <v>2223.55</v>
      </c>
      <c r="C5" s="0" t="s">
        <v>757</v>
      </c>
      <c r="D5" s="11" t="n">
        <v>45776</v>
      </c>
      <c r="E5" s="6" t="n">
        <v>3286.23</v>
      </c>
      <c r="F5" s="0" t="s">
        <v>757</v>
      </c>
      <c r="G5" s="11" t="n">
        <v>45810</v>
      </c>
      <c r="H5" s="8" t="s">
        <f>=-Портфель!J4</f>
      </c>
      <c r="I5" s="0" t="s">
        <v>758</v>
      </c>
      <c r="J5" s="11" t="n">
        <v>45418</v>
      </c>
      <c r="K5" s="6" t="n">
        <v>3078.31</v>
      </c>
      <c r="L5" s="0" t="s">
        <v>757</v>
      </c>
      <c r="M5" s="11" t="n">
        <v>45418</v>
      </c>
      <c r="N5" s="6" t="n">
        <v>1558.76</v>
      </c>
      <c r="O5" s="0" t="s">
        <v>757</v>
      </c>
      <c r="P5" s="11" t="n">
        <v>45118</v>
      </c>
      <c r="Q5" s="6" t="n">
        <v>-27.71</v>
      </c>
      <c r="R5" s="0" t="s">
        <v>421</v>
      </c>
      <c r="S5" s="11" t="n">
        <v>45418</v>
      </c>
      <c r="T5" s="6" t="n">
        <v>1674.81</v>
      </c>
      <c r="U5" s="0" t="s">
        <v>757</v>
      </c>
      <c r="V5" s="11" t="n">
        <v>45506</v>
      </c>
      <c r="W5" s="6" t="n">
        <v>2293.66</v>
      </c>
      <c r="X5" s="0" t="s">
        <v>757</v>
      </c>
      <c r="Y5" s="11" t="n">
        <v>45810</v>
      </c>
      <c r="Z5" s="8" t="s">
        <f>=-Портфель!J10</f>
      </c>
      <c r="AA5" s="0" t="s">
        <v>758</v>
      </c>
      <c r="AB5" s="11" t="n">
        <v>45076</v>
      </c>
      <c r="AC5" s="6" t="n">
        <v>-113.4621272076</v>
      </c>
      <c r="AD5" s="0" t="s">
        <v>409</v>
      </c>
      <c r="AE5" s="11" t="n">
        <v>45198</v>
      </c>
      <c r="AF5" s="6" t="n">
        <v>258.07</v>
      </c>
      <c r="AG5" s="0" t="s">
        <v>757</v>
      </c>
      <c r="AH5" s="11" t="n">
        <v>45810</v>
      </c>
      <c r="AI5" s="8" t="s">
        <f>=-Портфель!J13</f>
      </c>
      <c r="AJ5" s="0" t="s">
        <v>758</v>
      </c>
      <c r="AK5" s="11" t="n">
        <v>45356</v>
      </c>
      <c r="AL5" s="6" t="n">
        <v>403.41</v>
      </c>
      <c r="AM5" s="0" t="s">
        <v>757</v>
      </c>
      <c r="AN5" s="0"/>
      <c r="AO5" s="10" t="s">
        <f>=XIRR(AO2:AO4,AN2:AN4)</f>
      </c>
      <c r="AP5" s="0"/>
      <c r="AQ5" s="11" t="n">
        <v>45541</v>
      </c>
      <c r="AR5" s="6" t="n">
        <v>1612.72</v>
      </c>
      <c r="AS5" s="0" t="s">
        <v>757</v>
      </c>
      <c r="AT5" s="11" t="n">
        <v>45324</v>
      </c>
      <c r="AU5" s="6" t="n">
        <v>765.49</v>
      </c>
      <c r="AV5" s="0" t="s">
        <v>757</v>
      </c>
      <c r="AW5" s="0"/>
      <c r="AX5" s="8" t="s">
        <f>=-SUM(AX2:AX3)</f>
      </c>
      <c r="AY5" s="0" t="s">
        <v>759</v>
      </c>
      <c r="AZ5" s="11" t="n">
        <v>45597</v>
      </c>
      <c r="BA5" s="6" t="n">
        <v>586.96</v>
      </c>
      <c r="BB5" s="0" t="s">
        <v>757</v>
      </c>
      <c r="BC5" s="11" t="n">
        <v>45810</v>
      </c>
      <c r="BD5" s="8" t="s">
        <f>=-Портфель!J20</f>
      </c>
      <c r="BE5" s="0" t="s">
        <v>758</v>
      </c>
      <c r="BF5" s="0"/>
      <c r="BG5" s="10" t="s">
        <f>=XIRR(BG2:BG4,BF2:BF4)</f>
      </c>
      <c r="BH5" s="0"/>
      <c r="BI5" s="0"/>
      <c r="BJ5" s="10" t="s">
        <f>=XIRR(BJ2:BJ4,BI2:BI4)</f>
      </c>
      <c r="BK5" s="0"/>
      <c r="BL5" s="11" t="n">
        <v>45810</v>
      </c>
      <c r="BM5" s="8" t="s">
        <f>=-Портфель!J23</f>
      </c>
      <c r="BN5" s="0" t="s">
        <v>758</v>
      </c>
      <c r="BO5" s="0"/>
      <c r="BP5" s="8" t="s">
        <f>=-SUM(BP2:BP3)</f>
      </c>
      <c r="BQ5" s="0" t="s">
        <v>759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759</v>
      </c>
      <c r="BX5" s="11" t="n">
        <v>45209</v>
      </c>
      <c r="BY5" s="6" t="n">
        <v>-34.5</v>
      </c>
      <c r="BZ5" s="0" t="s">
        <v>451</v>
      </c>
      <c r="CA5" s="11" t="n">
        <v>45453</v>
      </c>
      <c r="CB5" s="6" t="n">
        <v>-82.56</v>
      </c>
      <c r="CC5" s="0" t="s">
        <v>546</v>
      </c>
      <c r="CD5" s="11" t="n">
        <v>45810</v>
      </c>
      <c r="CE5" s="8" t="s">
        <f>=-Портфель!J29</f>
      </c>
      <c r="CF5" s="0" t="s">
        <v>758</v>
      </c>
      <c r="CG5" s="0"/>
      <c r="CH5" s="10" t="s">
        <f>=XIRR(CH2:CH4,CG2:CG4)</f>
      </c>
      <c r="CI5" s="0"/>
      <c r="CJ5" s="0"/>
      <c r="CK5" s="10" t="s">
        <f>=XIRR(CK2:CK4,CJ2:CJ4)</f>
      </c>
      <c r="CL5" s="0"/>
      <c r="CM5" s="11" t="n">
        <v>44958</v>
      </c>
      <c r="CN5" s="6" t="s">
        <f>=-60.84</f>
      </c>
      <c r="CO5" s="0" t="s">
        <v>375</v>
      </c>
      <c r="CP5" s="11" t="n">
        <v>44929</v>
      </c>
      <c r="CQ5" s="6" t="s">
        <f>=1051.78</f>
      </c>
      <c r="CR5" s="0" t="s">
        <v>757</v>
      </c>
      <c r="CS5" s="11" t="n">
        <v>45075</v>
      </c>
      <c r="CT5" s="6" t="s">
        <f>=763.02</f>
      </c>
      <c r="CU5" s="0" t="s">
        <v>757</v>
      </c>
      <c r="CV5" s="11" t="n">
        <v>44950</v>
      </c>
      <c r="CW5" s="6" t="s">
        <f>=1068.42</f>
      </c>
      <c r="CX5" s="0" t="s">
        <v>757</v>
      </c>
      <c r="CY5" s="11" t="n">
        <v>45006</v>
      </c>
      <c r="CZ5" s="6" t="s">
        <f>=763.22</f>
      </c>
      <c r="DA5" s="0" t="s">
        <v>757</v>
      </c>
      <c r="DB5" s="11" t="n">
        <v>45021</v>
      </c>
      <c r="DC5" s="6" t="s">
        <f>=-115.17</f>
      </c>
      <c r="DD5" s="0" t="s">
        <v>392</v>
      </c>
      <c r="DE5" s="11" t="n">
        <v>45240</v>
      </c>
      <c r="DF5" s="6" t="s">
        <f>=843.84</f>
      </c>
      <c r="DG5" s="0" t="s">
        <v>757</v>
      </c>
      <c r="DH5" s="11" t="n">
        <v>45006</v>
      </c>
      <c r="DI5" s="6" t="s">
        <f>=779.81</f>
      </c>
      <c r="DJ5" s="0" t="s">
        <v>757</v>
      </c>
      <c r="DK5" s="11" t="n">
        <v>45351</v>
      </c>
      <c r="DL5" s="6" t="s">
        <f>=855.56</f>
      </c>
      <c r="DM5" s="0" t="s">
        <v>757</v>
      </c>
      <c r="DN5" s="11" t="n">
        <v>45387</v>
      </c>
      <c r="DO5" s="6" t="s">
        <f>=852.04</f>
      </c>
      <c r="DP5" s="0" t="s">
        <v>757</v>
      </c>
      <c r="DQ5" s="11" t="n">
        <v>45447</v>
      </c>
      <c r="DR5" s="6" t="s">
        <f>=750.19</f>
      </c>
      <c r="DS5" s="0" t="s">
        <v>757</v>
      </c>
      <c r="DT5" s="11" t="n">
        <v>45702</v>
      </c>
      <c r="DU5" s="6" t="s">
        <f>=857.05</f>
      </c>
      <c r="DV5" s="0" t="s">
        <v>757</v>
      </c>
      <c r="DW5" s="11" t="n">
        <v>45240</v>
      </c>
      <c r="DX5" s="6" t="s">
        <f>=805.83</f>
      </c>
      <c r="DY5" s="0" t="s">
        <v>757</v>
      </c>
      <c r="DZ5" s="11" t="n">
        <v>45006</v>
      </c>
      <c r="EA5" s="6" t="s">
        <f>=823.33</f>
      </c>
      <c r="EB5" s="0" t="s">
        <v>757</v>
      </c>
      <c r="EC5" s="11" t="n">
        <v>45378</v>
      </c>
      <c r="ED5" s="6" t="s">
        <f>=-189.88</f>
      </c>
      <c r="EE5" s="0" t="s">
        <v>511</v>
      </c>
      <c r="EF5" s="11" t="n">
        <v>45210</v>
      </c>
      <c r="EG5" s="6" t="s">
        <f>=-86.66</f>
      </c>
      <c r="EH5" s="0" t="s">
        <v>452</v>
      </c>
      <c r="EI5" s="11" t="n">
        <v>45714</v>
      </c>
      <c r="EJ5" s="6" t="s">
        <f>=858.07</f>
      </c>
      <c r="EK5" s="0" t="s">
        <v>757</v>
      </c>
      <c r="EL5" s="11" t="n">
        <v>45714</v>
      </c>
      <c r="EM5" s="6" t="s">
        <f>=829.06</f>
      </c>
      <c r="EN5" s="0" t="s">
        <v>757</v>
      </c>
      <c r="EO5" s="11" t="n">
        <v>45146</v>
      </c>
      <c r="EP5" s="6" t="s">
        <f>=994.76</f>
      </c>
      <c r="EQ5" s="0" t="s">
        <v>757</v>
      </c>
      <c r="ER5" s="11" t="n">
        <v>45030</v>
      </c>
      <c r="ES5" s="6" t="s">
        <f>=1142.12</f>
      </c>
      <c r="ET5" s="0" t="s">
        <v>757</v>
      </c>
      <c r="EU5" s="11" t="n">
        <v>45756</v>
      </c>
      <c r="EV5" s="6" t="s">
        <f>=-179.52</f>
      </c>
      <c r="EW5" s="0" t="s">
        <v>705</v>
      </c>
      <c r="EX5" s="11" t="n">
        <v>45506</v>
      </c>
      <c r="EY5" s="6" t="s">
        <f>=815.29</f>
      </c>
      <c r="EZ5" s="0" t="s">
        <v>757</v>
      </c>
      <c r="FA5" s="11" t="n">
        <v>45566</v>
      </c>
      <c r="FB5" s="6" t="s">
        <f>=633.72</f>
      </c>
      <c r="FC5" s="0" t="s">
        <v>757</v>
      </c>
      <c r="FD5" s="11" t="n">
        <v>45688</v>
      </c>
      <c r="FE5" s="6" t="s">
        <f>=-179.52</f>
      </c>
      <c r="FF5" s="0" t="s">
        <v>673</v>
      </c>
      <c r="FG5" s="11" t="n">
        <v>45702</v>
      </c>
      <c r="FH5" s="6" t="s">
        <f>=-155.58</f>
      </c>
      <c r="FI5" s="0" t="s">
        <v>676</v>
      </c>
      <c r="FJ5" s="11" t="n">
        <v>45836</v>
      </c>
      <c r="FK5" s="8" t="s">
        <f>=-Портфель!J58</f>
      </c>
      <c r="FL5" s="0" t="s">
        <v>758</v>
      </c>
      <c r="FM5" s="11" t="n">
        <v>45670</v>
      </c>
      <c r="FN5" s="6" t="s">
        <f>=808.9</f>
      </c>
      <c r="FO5" s="0" t="s">
        <v>757</v>
      </c>
      <c r="FP5" s="11" t="n">
        <v>45672</v>
      </c>
      <c r="FQ5" s="6" t="s">
        <f>=-44.88</f>
      </c>
      <c r="FR5" s="0" t="s">
        <v>482</v>
      </c>
      <c r="FS5" s="11" t="n">
        <v>45532</v>
      </c>
      <c r="FT5" s="6" t="s">
        <f>=-28.1</f>
      </c>
      <c r="FU5" s="0" t="s">
        <v>572</v>
      </c>
      <c r="FV5" s="11" t="n">
        <v>45220</v>
      </c>
      <c r="FW5" s="6" t="s">
        <f>=-22.56</f>
      </c>
      <c r="FX5" s="0" t="s">
        <v>456</v>
      </c>
      <c r="FY5" s="11" t="n">
        <v>45267</v>
      </c>
      <c r="FZ5" s="6" t="s">
        <f>=880.79</f>
      </c>
      <c r="GA5" s="0" t="s">
        <v>757</v>
      </c>
      <c r="GB5" s="11" t="n">
        <v>45594</v>
      </c>
      <c r="GC5" s="6" t="s">
        <f>=-58.34</f>
      </c>
      <c r="GD5" s="0" t="s">
        <v>621</v>
      </c>
      <c r="GE5" s="11" t="n">
        <v>45537</v>
      </c>
      <c r="GF5" s="6" t="s">
        <f>=-39.9</f>
      </c>
      <c r="GG5" s="0" t="s">
        <v>589</v>
      </c>
      <c r="GH5" s="11" t="n">
        <v>46035</v>
      </c>
      <c r="GI5" s="8" t="s">
        <f>=-Портфель!J66</f>
      </c>
      <c r="GJ5" s="0" t="s">
        <v>758</v>
      </c>
      <c r="GK5" s="11" t="n">
        <v>46035</v>
      </c>
      <c r="GL5" s="8" t="s">
        <f>=-Портфель!J67</f>
      </c>
      <c r="GM5" s="0" t="s">
        <v>758</v>
      </c>
      <c r="GN5" s="11" t="n">
        <v>45906</v>
      </c>
      <c r="GO5" s="8" t="s">
        <f>=-Портфель!J68</f>
      </c>
      <c r="GP5" s="0" t="s">
        <v>758</v>
      </c>
      <c r="GQ5" s="11" t="n">
        <v>46035</v>
      </c>
      <c r="GR5" s="8" t="s">
        <f>=-Портфель!J69</f>
      </c>
      <c r="GS5" s="0" t="s">
        <v>758</v>
      </c>
      <c r="GT5" s="11" t="n">
        <v>46094</v>
      </c>
      <c r="GU5" s="8" t="s">
        <f>=-Портфель!J70</f>
      </c>
      <c r="GV5" s="0" t="s">
        <v>758</v>
      </c>
      <c r="GW5" s="11" t="n">
        <v>46035</v>
      </c>
      <c r="GX5" s="8" t="s">
        <f>=-Портфель!J71</f>
      </c>
      <c r="GY5" s="0" t="s">
        <v>758</v>
      </c>
      <c r="GZ5" s="11" t="n">
        <v>45471</v>
      </c>
      <c r="HA5" s="6" t="s">
        <f>=-65.82</f>
      </c>
      <c r="HB5" s="0" t="s">
        <v>479</v>
      </c>
      <c r="HC5" s="0"/>
      <c r="HD5" s="10" t="s">
        <f>=XIRR(HD2:HD4,HC2:HC4)</f>
      </c>
      <c r="HE5" s="0"/>
      <c r="HF5" s="0"/>
      <c r="HG5" s="10" t="s">
        <f>=XIRR(HG2:HG4,HF2:HF4)</f>
      </c>
      <c r="HH5" s="0"/>
      <c r="HI5" s="0"/>
      <c r="HJ5" s="10" t="s">
        <f>=XIRR(HJ2:HJ4,HI2:HI4)</f>
      </c>
      <c r="HK5" s="0"/>
      <c r="HL5" s="11" t="n">
        <v>45357</v>
      </c>
      <c r="HM5" s="6" t="s">
        <f>=-45.97</f>
      </c>
      <c r="HN5" s="0" t="s">
        <v>500</v>
      </c>
      <c r="HO5" s="11" t="n">
        <v>46116</v>
      </c>
      <c r="HP5" s="8" t="s">
        <f>=-Портфель!J77</f>
      </c>
      <c r="HQ5" s="0" t="s">
        <v>758</v>
      </c>
      <c r="HR5" s="0"/>
      <c r="HS5" s="10" t="s">
        <f>=XIRR(HS2:HS4,HR2:HR4)</f>
      </c>
      <c r="HT5" s="0"/>
      <c r="HU5" s="11" t="n">
        <v>45434</v>
      </c>
      <c r="HV5" s="6" t="s">
        <f>=-14.4</f>
      </c>
      <c r="HW5" s="0" t="s">
        <v>533</v>
      </c>
      <c r="HX5" s="11" t="n">
        <v>45406</v>
      </c>
      <c r="HY5" s="6" t="s">
        <f>=-43.1</f>
      </c>
      <c r="HZ5" s="0" t="s">
        <v>523</v>
      </c>
      <c r="IA5" s="11" t="n">
        <v>45906</v>
      </c>
      <c r="IB5" s="8" t="s">
        <f>=-Портфель!J81</f>
      </c>
      <c r="IC5" s="0" t="s">
        <v>758</v>
      </c>
      <c r="ID5" s="11" t="n">
        <v>46116</v>
      </c>
      <c r="IE5" s="8" t="s">
        <f>=-Портфель!J82</f>
      </c>
      <c r="IF5" s="0" t="s">
        <v>758</v>
      </c>
      <c r="IG5" s="11" t="n">
        <v>45413</v>
      </c>
      <c r="IH5" s="6" t="s">
        <f>=-39.1</f>
      </c>
      <c r="II5" s="0" t="s">
        <v>526</v>
      </c>
      <c r="IJ5" s="11" t="n">
        <v>45520</v>
      </c>
      <c r="IK5" s="6" t="s">
        <f>=-51.61</f>
      </c>
      <c r="IL5" s="0" t="s">
        <v>436</v>
      </c>
      <c r="IM5" s="11" t="n">
        <v>45325</v>
      </c>
      <c r="IN5" s="6" t="s">
        <f>=-53.1</f>
      </c>
      <c r="IO5" s="0" t="s">
        <v>434</v>
      </c>
      <c r="IP5" s="11" t="n">
        <v>45629</v>
      </c>
      <c r="IQ5" s="6" t="s">
        <f>=-56.1</f>
      </c>
      <c r="IR5" s="0" t="s">
        <v>468</v>
      </c>
      <c r="IS5" s="0"/>
      <c r="IT5" s="8" t="s">
        <f>=-SUM(IT2:IT3)</f>
      </c>
      <c r="IU5" s="0" t="s">
        <v>759</v>
      </c>
      <c r="IV5" s="0"/>
      <c r="IW5" s="10" t="s">
        <f>=XIRR(IW2:IW4,IV2:IV4)</f>
      </c>
      <c r="IX5" s="0"/>
      <c r="IY5" s="11" t="n">
        <v>45906</v>
      </c>
      <c r="IZ5" s="8" t="s">
        <f>=-Портфель!J89</f>
      </c>
      <c r="JA5" s="0" t="s">
        <v>758</v>
      </c>
      <c r="JB5" s="0"/>
      <c r="JC5" s="10" t="s">
        <f>=XIRR(JC2:JC4,JB2:JB4)</f>
      </c>
      <c r="JD5" s="0"/>
      <c r="JE5" s="11" t="n">
        <v>45497</v>
      </c>
      <c r="JF5" s="6" t="s">
        <f>=-43.38</f>
      </c>
      <c r="JG5" s="0" t="s">
        <v>425</v>
      </c>
      <c r="JH5" s="0"/>
      <c r="JI5" s="8" t="s">
        <f>=-SUM(JI2:JI3)</f>
      </c>
      <c r="JJ5" s="0" t="s">
        <v>759</v>
      </c>
      <c r="JK5" s="11" t="n">
        <v>45079</v>
      </c>
      <c r="JL5" s="6" t="s">
        <f>=-24.81</f>
      </c>
      <c r="JM5" s="0" t="s">
        <v>365</v>
      </c>
      <c r="JN5" s="11" t="n">
        <v>45370</v>
      </c>
      <c r="JO5" s="6" t="s">
        <f>=-39.39</f>
      </c>
      <c r="JP5" s="0" t="s">
        <v>385</v>
      </c>
      <c r="JQ5" s="0"/>
      <c r="JR5" s="10" t="s">
        <f>=XIRR(JR2:JR4,JQ2:JQ4)</f>
      </c>
      <c r="JS5" s="0"/>
      <c r="JT5" s="11" t="n">
        <v>45620</v>
      </c>
      <c r="JU5" s="6" t="s">
        <f>=-11.18</f>
      </c>
      <c r="JV5" s="0" t="s">
        <v>598</v>
      </c>
      <c r="JW5" s="11" t="n">
        <v>45272</v>
      </c>
      <c r="JX5" s="6" t="s">
        <f>=-31.3</f>
      </c>
      <c r="JY5" s="0" t="s">
        <v>414</v>
      </c>
      <c r="JZ5" s="11" t="n">
        <v>45139</v>
      </c>
      <c r="KA5" s="6" t="s">
        <f>=-28.22</f>
      </c>
      <c r="KB5" s="0" t="s">
        <v>373</v>
      </c>
      <c r="KC5" s="11" t="n">
        <v>45763</v>
      </c>
      <c r="KD5" s="6" t="s">
        <f>=-26.18</f>
      </c>
      <c r="KE5" s="0" t="s">
        <v>613</v>
      </c>
      <c r="KF5" s="11" t="n">
        <v>45779</v>
      </c>
      <c r="KG5" s="6" t="s">
        <f>=-23.86</f>
      </c>
      <c r="KH5" s="0" t="s">
        <v>623</v>
      </c>
      <c r="KI5" s="0"/>
      <c r="KJ5" s="8" t="s">
        <f>=-SUM(KJ2:KJ3)</f>
      </c>
      <c r="KK5" s="0" t="s">
        <v>759</v>
      </c>
      <c r="KL5" s="11" t="n">
        <v>45906</v>
      </c>
      <c r="KM5" s="8" t="s">
        <f>=-Портфель!J102</f>
      </c>
      <c r="KN5" s="0" t="s">
        <v>758</v>
      </c>
      <c r="KO5" s="11" t="n">
        <v>45084</v>
      </c>
      <c r="KP5" s="6" t="s">
        <f>=-19.87</f>
      </c>
      <c r="KQ5" s="0" t="s">
        <v>367</v>
      </c>
      <c r="KR5" s="11" t="n">
        <v>45496</v>
      </c>
      <c r="KS5" s="6" t="s">
        <f>=-34.28</f>
      </c>
      <c r="KT5" s="0" t="s">
        <v>485</v>
      </c>
      <c r="KU5" s="11" t="n">
        <v>45253</v>
      </c>
      <c r="KV5" s="6" t="s">
        <f>=-10.83</f>
      </c>
      <c r="KW5" s="0" t="s">
        <v>405</v>
      </c>
      <c r="KX5" s="11" t="n">
        <v>45609</v>
      </c>
      <c r="KY5" s="6" t="s">
        <f>=-4.67</f>
      </c>
      <c r="KZ5" s="0" t="s">
        <v>527</v>
      </c>
      <c r="LA5" s="11" t="n">
        <v>45448</v>
      </c>
      <c r="LB5" s="6" t="s">
        <f>=-67</f>
      </c>
      <c r="LC5" s="0" t="s">
        <v>499</v>
      </c>
      <c r="LD5" s="11" t="n">
        <v>44840</v>
      </c>
      <c r="LE5" s="6" t="s">
        <f>=-20.94</f>
      </c>
      <c r="LF5" s="0" t="s">
        <v>349</v>
      </c>
    </row>
    <row collapsed="false" customFormat="false" customHeight="false" hidden="false" ht="12.1" outlineLevel="0" r="6">
      <c r="A6" s="11" t="n">
        <v>45056</v>
      </c>
      <c r="B6" s="6" t="n">
        <v>2223.15</v>
      </c>
      <c r="C6" s="0" t="s">
        <v>757</v>
      </c>
      <c r="D6" s="11" t="n">
        <v>45793</v>
      </c>
      <c r="E6" s="6" t="n">
        <v>-192</v>
      </c>
      <c r="F6" s="0" t="s">
        <v>737</v>
      </c>
      <c r="G6" s="0"/>
      <c r="H6" s="10" t="s">
        <f>=XIRR(H2:H5,G2:G5)</f>
      </c>
      <c r="I6" s="0"/>
      <c r="J6" s="11" t="n">
        <v>45484</v>
      </c>
      <c r="K6" s="6" t="n">
        <v>-999</v>
      </c>
      <c r="L6" s="0" t="s">
        <v>559</v>
      </c>
      <c r="M6" s="11" t="n">
        <v>45506</v>
      </c>
      <c r="N6" s="6" t="n">
        <v>1323.56</v>
      </c>
      <c r="O6" s="0" t="s">
        <v>757</v>
      </c>
      <c r="P6" s="11" t="n">
        <v>45210</v>
      </c>
      <c r="Q6" s="6" t="n">
        <v>-27.54</v>
      </c>
      <c r="R6" s="0" t="s">
        <v>453</v>
      </c>
      <c r="S6" s="11" t="n">
        <v>45506</v>
      </c>
      <c r="T6" s="6" t="n">
        <v>3013.81</v>
      </c>
      <c r="U6" s="0" t="s">
        <v>757</v>
      </c>
      <c r="V6" s="11" t="n">
        <v>45729</v>
      </c>
      <c r="W6" s="6" t="n">
        <v>2098.78</v>
      </c>
      <c r="X6" s="0" t="s">
        <v>757</v>
      </c>
      <c r="Y6" s="0"/>
      <c r="Z6" s="10" t="s">
        <f>=XIRR(Z2:Z5,Y2:Y5)</f>
      </c>
      <c r="AA6" s="0"/>
      <c r="AB6" s="11" t="n">
        <v>45198</v>
      </c>
      <c r="AC6" s="6" t="n">
        <v>429.94</v>
      </c>
      <c r="AD6" s="0" t="s">
        <v>757</v>
      </c>
      <c r="AE6" s="11" t="n">
        <v>45219</v>
      </c>
      <c r="AF6" s="6" t="n">
        <v>520.96</v>
      </c>
      <c r="AG6" s="0" t="s">
        <v>757</v>
      </c>
      <c r="AH6" s="0"/>
      <c r="AI6" s="10" t="s">
        <f>=XIRR(AI2:AI5,AH2:AH5)</f>
      </c>
      <c r="AJ6" s="0"/>
      <c r="AK6" s="11" t="n">
        <v>45541</v>
      </c>
      <c r="AL6" s="6" t="n">
        <v>479.63</v>
      </c>
      <c r="AM6" s="0" t="s">
        <v>757</v>
      </c>
      <c r="AN6" s="0"/>
      <c r="AO6" s="8" t="s">
        <f>=-SUM(AO2:AO4)</f>
      </c>
      <c r="AP6" s="0" t="s">
        <v>759</v>
      </c>
      <c r="AQ6" s="11" t="n">
        <v>45810</v>
      </c>
      <c r="AR6" s="8" t="s">
        <f>=-Портфель!J16</f>
      </c>
      <c r="AS6" s="0" t="s">
        <v>758</v>
      </c>
      <c r="AT6" s="11" t="n">
        <v>45506</v>
      </c>
      <c r="AU6" s="6" t="n">
        <v>825.37</v>
      </c>
      <c r="AV6" s="0" t="s">
        <v>757</v>
      </c>
      <c r="AW6" s="0"/>
      <c r="AX6" s="0"/>
      <c r="AY6" s="0"/>
      <c r="AZ6" s="11" t="n">
        <v>45810</v>
      </c>
      <c r="BA6" s="8" t="s">
        <f>=-Портфель!J19</f>
      </c>
      <c r="BB6" s="0" t="s">
        <v>758</v>
      </c>
      <c r="BC6" s="0"/>
      <c r="BD6" s="10" t="s">
        <f>=XIRR(BD2:BD5,BC2:BC5)</f>
      </c>
      <c r="BE6" s="0"/>
      <c r="BF6" s="0"/>
      <c r="BG6" s="8" t="s">
        <f>=-SUM(BG2:BG4)</f>
      </c>
      <c r="BH6" s="0" t="s">
        <v>759</v>
      </c>
      <c r="BI6" s="0"/>
      <c r="BJ6" s="8" t="s">
        <f>=-SUM(BJ2:BJ4)</f>
      </c>
      <c r="BK6" s="0" t="s">
        <v>759</v>
      </c>
      <c r="BL6" s="0"/>
      <c r="BM6" s="10" t="s">
        <f>=XIRR(BM2:BM5,BL2:BL5)</f>
      </c>
      <c r="BN6" s="0"/>
      <c r="BO6" s="0"/>
      <c r="BP6" s="0"/>
      <c r="BQ6" s="0"/>
      <c r="BR6" s="0"/>
      <c r="BS6" s="8" t="s">
        <f>=-SUM(BS2:BS4)</f>
      </c>
      <c r="BT6" s="0" t="s">
        <v>759</v>
      </c>
      <c r="BU6" s="0"/>
      <c r="BV6" s="0"/>
      <c r="BW6" s="0"/>
      <c r="BX6" s="11" t="n">
        <v>45377</v>
      </c>
      <c r="BY6" s="6" t="n">
        <v>-44.09</v>
      </c>
      <c r="BZ6" s="0" t="s">
        <v>509</v>
      </c>
      <c r="CA6" s="11" t="n">
        <v>45582</v>
      </c>
      <c r="CB6" s="6" t="n">
        <v>-74.82</v>
      </c>
      <c r="CC6" s="0" t="s">
        <v>614</v>
      </c>
      <c r="CD6" s="0"/>
      <c r="CE6" s="10" t="s">
        <f>=XIRR(CE2:CE5,CD2:CD5)</f>
      </c>
      <c r="CF6" s="0"/>
      <c r="CG6" s="0"/>
      <c r="CH6" s="8" t="s">
        <f>=-SUM(CH2:CH4)</f>
      </c>
      <c r="CI6" s="0" t="s">
        <v>759</v>
      </c>
      <c r="CJ6" s="0"/>
      <c r="CK6" s="8" t="s">
        <f>=-SUM(CK2:CK4)</f>
      </c>
      <c r="CL6" s="0" t="s">
        <v>759</v>
      </c>
      <c r="CM6" s="11" t="n">
        <v>45061</v>
      </c>
      <c r="CN6" s="6" t="s">
        <f>=731.95</f>
      </c>
      <c r="CO6" s="0" t="s">
        <v>757</v>
      </c>
      <c r="CP6" s="11" t="n">
        <v>45098</v>
      </c>
      <c r="CQ6" s="6" t="s">
        <f>=-142.56</f>
      </c>
      <c r="CR6" s="0" t="s">
        <v>418</v>
      </c>
      <c r="CS6" s="11" t="n">
        <v>45084</v>
      </c>
      <c r="CT6" s="6" t="s">
        <f>=-141.6</f>
      </c>
      <c r="CU6" s="0" t="s">
        <v>411</v>
      </c>
      <c r="CV6" s="11" t="n">
        <v>45063</v>
      </c>
      <c r="CW6" s="6" t="s">
        <f>=-153.63</f>
      </c>
      <c r="CX6" s="0" t="s">
        <v>401</v>
      </c>
      <c r="CY6" s="11" t="n">
        <v>45082</v>
      </c>
      <c r="CZ6" s="6" t="s">
        <f>=1553.86</f>
      </c>
      <c r="DA6" s="0" t="s">
        <v>757</v>
      </c>
      <c r="DB6" s="11" t="n">
        <v>45184</v>
      </c>
      <c r="DC6" s="6" t="s">
        <f>=776.84</f>
      </c>
      <c r="DD6" s="0" t="s">
        <v>757</v>
      </c>
      <c r="DE6" s="11" t="n">
        <v>45351</v>
      </c>
      <c r="DF6" s="6" t="s">
        <f>=844.62</f>
      </c>
      <c r="DG6" s="0" t="s">
        <v>757</v>
      </c>
      <c r="DH6" s="11" t="n">
        <v>45007</v>
      </c>
      <c r="DI6" s="6" t="s">
        <f>=-58.84</f>
      </c>
      <c r="DJ6" s="0" t="s">
        <v>387</v>
      </c>
      <c r="DK6" s="11" t="n">
        <v>45356</v>
      </c>
      <c r="DL6" s="6" t="s">
        <f>=849.91</f>
      </c>
      <c r="DM6" s="0" t="s">
        <v>757</v>
      </c>
      <c r="DN6" s="11" t="n">
        <v>45387</v>
      </c>
      <c r="DO6" s="6" t="s">
        <f>=851.49</f>
      </c>
      <c r="DP6" s="0" t="s">
        <v>757</v>
      </c>
      <c r="DQ6" s="11" t="n">
        <v>45447</v>
      </c>
      <c r="DR6" s="6" t="s">
        <f>=749.51</f>
      </c>
      <c r="DS6" s="0" t="s">
        <v>757</v>
      </c>
      <c r="DT6" s="11" t="n">
        <v>45702</v>
      </c>
      <c r="DU6" s="6" t="s">
        <f>=857.06</f>
      </c>
      <c r="DV6" s="0" t="s">
        <v>757</v>
      </c>
      <c r="DW6" s="11" t="n">
        <v>45385</v>
      </c>
      <c r="DX6" s="6" t="s">
        <f>=-76.78</f>
      </c>
      <c r="DY6" s="0" t="s">
        <v>516</v>
      </c>
      <c r="DZ6" s="11" t="n">
        <v>45070</v>
      </c>
      <c r="EA6" s="6" t="s">
        <f>=-108.45</f>
      </c>
      <c r="EB6" s="0" t="s">
        <v>404</v>
      </c>
      <c r="EC6" s="11" t="n">
        <v>45387</v>
      </c>
      <c r="ED6" s="6" t="s">
        <f>=898.85</f>
      </c>
      <c r="EE6" s="0" t="s">
        <v>757</v>
      </c>
      <c r="EF6" s="11" t="n">
        <v>45392</v>
      </c>
      <c r="EG6" s="6" t="s">
        <f>=-102.62</f>
      </c>
      <c r="EH6" s="0" t="s">
        <v>517</v>
      </c>
      <c r="EI6" s="11" t="n">
        <v>45714</v>
      </c>
      <c r="EJ6" s="6" t="s">
        <f>=858.07</f>
      </c>
      <c r="EK6" s="0" t="s">
        <v>757</v>
      </c>
      <c r="EL6" s="11" t="n">
        <v>45714</v>
      </c>
      <c r="EM6" s="6" t="s">
        <f>=829.05</f>
      </c>
      <c r="EN6" s="0" t="s">
        <v>757</v>
      </c>
      <c r="EO6" s="11" t="n">
        <v>45252</v>
      </c>
      <c r="EP6" s="6" t="s">
        <f>=-89.8</f>
      </c>
      <c r="EQ6" s="0" t="s">
        <v>464</v>
      </c>
      <c r="ER6" s="11" t="n">
        <v>45114</v>
      </c>
      <c r="ES6" s="6" t="s">
        <f>=1163.89</f>
      </c>
      <c r="ET6" s="0" t="s">
        <v>757</v>
      </c>
      <c r="EU6" s="11" t="n">
        <v>45776</v>
      </c>
      <c r="EV6" s="6" t="s">
        <f>=834.81</f>
      </c>
      <c r="EW6" s="0" t="s">
        <v>757</v>
      </c>
      <c r="EX6" s="11" t="n">
        <v>45539</v>
      </c>
      <c r="EY6" s="6" t="s">
        <f>=-179.52</f>
      </c>
      <c r="EZ6" s="0" t="s">
        <v>591</v>
      </c>
      <c r="FA6" s="11" t="n">
        <v>45566</v>
      </c>
      <c r="FB6" s="6" t="s">
        <f>=633.73</f>
      </c>
      <c r="FC6" s="0" t="s">
        <v>757</v>
      </c>
      <c r="FD6" s="11" t="n">
        <v>46035</v>
      </c>
      <c r="FE6" s="8" t="s">
        <f>=-Портфель!J56</f>
      </c>
      <c r="FF6" s="0" t="s">
        <v>758</v>
      </c>
      <c r="FG6" s="11" t="n">
        <v>45906</v>
      </c>
      <c r="FH6" s="8" t="s">
        <f>=-Портфель!J57</f>
      </c>
      <c r="FI6" s="0" t="s">
        <v>758</v>
      </c>
      <c r="FJ6" s="0"/>
      <c r="FK6" s="10" t="s">
        <f>=XIRR(FK2:FK5,FJ2:FJ5)</f>
      </c>
      <c r="FL6" s="0"/>
      <c r="FM6" s="11" t="n">
        <v>45713</v>
      </c>
      <c r="FN6" s="6" t="s">
        <f>=-74.79</f>
      </c>
      <c r="FO6" s="0" t="s">
        <v>682</v>
      </c>
      <c r="FP6" s="11" t="n">
        <v>45810</v>
      </c>
      <c r="FQ6" s="8" t="s">
        <f>=-Портфель!J60</f>
      </c>
      <c r="FR6" s="0" t="s">
        <v>758</v>
      </c>
      <c r="FS6" s="11" t="n">
        <v>45562</v>
      </c>
      <c r="FT6" s="6" t="s">
        <f>=-31.4</f>
      </c>
      <c r="FU6" s="0" t="s">
        <v>603</v>
      </c>
      <c r="FV6" s="11" t="n">
        <v>45251</v>
      </c>
      <c r="FW6" s="6" t="s">
        <f>=-23.86</f>
      </c>
      <c r="FX6" s="0" t="s">
        <v>463</v>
      </c>
      <c r="FY6" s="11" t="n">
        <v>45448</v>
      </c>
      <c r="FZ6" s="6" t="s">
        <f>=-65.32</f>
      </c>
      <c r="GA6" s="0" t="s">
        <v>543</v>
      </c>
      <c r="GB6" s="11" t="n">
        <v>45685</v>
      </c>
      <c r="GC6" s="6" t="s">
        <f>=-58.34</f>
      </c>
      <c r="GD6" s="0" t="s">
        <v>621</v>
      </c>
      <c r="GE6" s="11" t="n">
        <v>45628</v>
      </c>
      <c r="GF6" s="6" t="s">
        <f>=-39.9</f>
      </c>
      <c r="GG6" s="0" t="s">
        <v>589</v>
      </c>
      <c r="GH6" s="0"/>
      <c r="GI6" s="10" t="s">
        <f>=XIRR(GI2:GI5,GH2:GH5)</f>
      </c>
      <c r="GJ6" s="0"/>
      <c r="GK6" s="0"/>
      <c r="GL6" s="10" t="s">
        <f>=XIRR(GL2:GL5,GK2:GK5)</f>
      </c>
      <c r="GM6" s="0"/>
      <c r="GN6" s="0"/>
      <c r="GO6" s="10" t="s">
        <f>=XIRR(GO2:GO5,GN2:GN5)</f>
      </c>
      <c r="GP6" s="0"/>
      <c r="GQ6" s="0"/>
      <c r="GR6" s="10" t="s">
        <f>=XIRR(GR2:GR5,GQ2:GQ5)</f>
      </c>
      <c r="GS6" s="0"/>
      <c r="GT6" s="0"/>
      <c r="GU6" s="10" t="s">
        <f>=XIRR(GU2:GU5,GT2:GT5)</f>
      </c>
      <c r="GV6" s="0"/>
      <c r="GW6" s="0"/>
      <c r="GX6" s="10" t="s">
        <f>=XIRR(GX2:GX5,GW2:GW5)</f>
      </c>
      <c r="GY6" s="0"/>
      <c r="GZ6" s="11" t="n">
        <v>45652</v>
      </c>
      <c r="HA6" s="6" t="s">
        <f>=-200</f>
      </c>
      <c r="HB6" s="0" t="s">
        <v>656</v>
      </c>
      <c r="HC6" s="0"/>
      <c r="HD6" s="8" t="s">
        <f>=-SUM(HD2:HD4)</f>
      </c>
      <c r="HE6" s="0" t="s">
        <v>759</v>
      </c>
      <c r="HF6" s="0"/>
      <c r="HG6" s="8" t="s">
        <f>=-SUM(HG2:HG4)</f>
      </c>
      <c r="HH6" s="0" t="s">
        <v>759</v>
      </c>
      <c r="HI6" s="0"/>
      <c r="HJ6" s="8" t="s">
        <f>=-SUM(HJ2:HJ4)</f>
      </c>
      <c r="HK6" s="0" t="s">
        <v>759</v>
      </c>
      <c r="HL6" s="11" t="n">
        <v>45539</v>
      </c>
      <c r="HM6" s="6" t="s">
        <f>=-78.63</f>
      </c>
      <c r="HN6" s="0" t="s">
        <v>590</v>
      </c>
      <c r="HO6" s="0"/>
      <c r="HP6" s="10" t="s">
        <f>=XIRR(HP2:HP5,HO2:HO5)</f>
      </c>
      <c r="HQ6" s="0"/>
      <c r="HR6" s="0"/>
      <c r="HS6" s="8" t="s">
        <f>=-SUM(HS2:HS4)</f>
      </c>
      <c r="HT6" s="0" t="s">
        <v>759</v>
      </c>
      <c r="HU6" s="11" t="n">
        <v>45465</v>
      </c>
      <c r="HV6" s="6" t="s">
        <f>=-14.58</f>
      </c>
      <c r="HW6" s="0" t="s">
        <v>550</v>
      </c>
      <c r="HX6" s="11" t="n">
        <v>45497</v>
      </c>
      <c r="HY6" s="6" t="s">
        <f>=-43.42</f>
      </c>
      <c r="HZ6" s="0" t="s">
        <v>567</v>
      </c>
      <c r="IA6" s="0"/>
      <c r="IB6" s="10" t="s">
        <f>=XIRR(IB2:IB5,IA2:IA5)</f>
      </c>
      <c r="IC6" s="0"/>
      <c r="ID6" s="0"/>
      <c r="IE6" s="10" t="s">
        <f>=XIRR(IE2:IE5,ID2:ID5)</f>
      </c>
      <c r="IF6" s="0"/>
      <c r="IG6" s="11" t="n">
        <v>45504</v>
      </c>
      <c r="IH6" s="6" t="s">
        <f>=-39.45</f>
      </c>
      <c r="II6" s="0" t="s">
        <v>579</v>
      </c>
      <c r="IJ6" s="11" t="n">
        <v>45702</v>
      </c>
      <c r="IK6" s="6" t="s">
        <f>=-51.61</f>
      </c>
      <c r="IL6" s="0" t="s">
        <v>436</v>
      </c>
      <c r="IM6" s="11" t="n">
        <v>45507</v>
      </c>
      <c r="IN6" s="6" t="s">
        <f>=-53.1</f>
      </c>
      <c r="IO6" s="0" t="s">
        <v>434</v>
      </c>
      <c r="IP6" s="11" t="n">
        <v>45810</v>
      </c>
      <c r="IQ6" s="8" t="s">
        <f>=-Портфель!J86</f>
      </c>
      <c r="IR6" s="0" t="s">
        <v>758</v>
      </c>
      <c r="IS6" s="0"/>
      <c r="IT6" s="0"/>
      <c r="IU6" s="0"/>
      <c r="IV6" s="0"/>
      <c r="IW6" s="8" t="s">
        <f>=-SUM(IW2:IW4)</f>
      </c>
      <c r="IX6" s="0" t="s">
        <v>759</v>
      </c>
      <c r="IY6" s="0"/>
      <c r="IZ6" s="10" t="s">
        <f>=XIRR(IZ2:IZ5,IY2:IY5)</f>
      </c>
      <c r="JA6" s="0"/>
      <c r="JB6" s="0"/>
      <c r="JC6" s="8" t="s">
        <f>=-SUM(JC2:JC4)</f>
      </c>
      <c r="JD6" s="0" t="s">
        <v>759</v>
      </c>
      <c r="JE6" s="11" t="n">
        <v>45679</v>
      </c>
      <c r="JF6" s="6" t="s">
        <f>=-43.38</f>
      </c>
      <c r="JG6" s="0" t="s">
        <v>425</v>
      </c>
      <c r="JH6" s="0"/>
      <c r="JI6" s="0"/>
      <c r="JJ6" s="0"/>
      <c r="JK6" s="11" t="n">
        <v>45170</v>
      </c>
      <c r="JL6" s="6" t="s">
        <f>=-24.81</f>
      </c>
      <c r="JM6" s="0" t="s">
        <v>365</v>
      </c>
      <c r="JN6" s="11" t="n">
        <v>45552</v>
      </c>
      <c r="JO6" s="6" t="s">
        <f>=-39.39</f>
      </c>
      <c r="JP6" s="0" t="s">
        <v>385</v>
      </c>
      <c r="JQ6" s="0"/>
      <c r="JR6" s="8" t="s">
        <f>=-SUM(JR2:JR4)</f>
      </c>
      <c r="JS6" s="0" t="s">
        <v>759</v>
      </c>
      <c r="JT6" s="11" t="n">
        <v>45650</v>
      </c>
      <c r="JU6" s="6" t="s">
        <f>=-11.18</f>
      </c>
      <c r="JV6" s="0" t="s">
        <v>598</v>
      </c>
      <c r="JW6" s="11" t="n">
        <v>45454</v>
      </c>
      <c r="JX6" s="6" t="s">
        <f>=-30.12</f>
      </c>
      <c r="JY6" s="0" t="s">
        <v>547</v>
      </c>
      <c r="JZ6" s="11" t="n">
        <v>45230</v>
      </c>
      <c r="KA6" s="6" t="s">
        <f>=-28.22</f>
      </c>
      <c r="KB6" s="0" t="s">
        <v>373</v>
      </c>
      <c r="KC6" s="11" t="n">
        <v>45906</v>
      </c>
      <c r="KD6" s="8" t="s">
        <f>=-Портфель!J99</f>
      </c>
      <c r="KE6" s="0" t="s">
        <v>758</v>
      </c>
      <c r="KF6" s="11" t="n">
        <v>45906</v>
      </c>
      <c r="KG6" s="8" t="s">
        <f>=-Портфель!J100</f>
      </c>
      <c r="KH6" s="0" t="s">
        <v>758</v>
      </c>
      <c r="KI6" s="0"/>
      <c r="KJ6" s="0"/>
      <c r="KK6" s="0"/>
      <c r="KL6" s="0"/>
      <c r="KM6" s="10" t="s">
        <f>=XIRR(KM2:KM5,KL2:KL5)</f>
      </c>
      <c r="KN6" s="0"/>
      <c r="KO6" s="11" t="n">
        <v>45175</v>
      </c>
      <c r="KP6" s="6" t="s">
        <f>=-19.87</f>
      </c>
      <c r="KQ6" s="0" t="s">
        <v>367</v>
      </c>
      <c r="KR6" s="11" t="n">
        <v>45587</v>
      </c>
      <c r="KS6" s="6" t="s">
        <f>=-34.28</f>
      </c>
      <c r="KT6" s="0" t="s">
        <v>485</v>
      </c>
      <c r="KU6" s="11" t="n">
        <v>45343</v>
      </c>
      <c r="KV6" s="6" t="s">
        <f>=-125</f>
      </c>
      <c r="KW6" s="0" t="s">
        <v>496</v>
      </c>
      <c r="KX6" s="11" t="n">
        <v>45700</v>
      </c>
      <c r="KY6" s="6" t="s">
        <f>=-4.67</f>
      </c>
      <c r="KZ6" s="0" t="s">
        <v>527</v>
      </c>
      <c r="LA6" s="11" t="n">
        <v>45449</v>
      </c>
      <c r="LB6" s="6" t="s">
        <f>=-13.11</f>
      </c>
      <c r="LC6" s="0" t="s">
        <v>545</v>
      </c>
      <c r="LD6" s="11" t="n">
        <v>44931</v>
      </c>
      <c r="LE6" s="6" t="s">
        <f>=-20.94</f>
      </c>
      <c r="LF6" s="0" t="s">
        <v>349</v>
      </c>
    </row>
    <row collapsed="false" customFormat="false" customHeight="false" hidden="false" ht="12.1" outlineLevel="0" r="7">
      <c r="A7" s="11" t="n">
        <v>45057</v>
      </c>
      <c r="B7" s="6" t="n">
        <v>-750</v>
      </c>
      <c r="C7" s="0" t="s">
        <v>400</v>
      </c>
      <c r="D7" s="11" t="n">
        <v>46004</v>
      </c>
      <c r="E7" s="8" t="s">
        <f>=-Портфель!J3</f>
      </c>
      <c r="F7" s="0" t="s">
        <v>758</v>
      </c>
      <c r="G7" s="0"/>
      <c r="H7" s="8" t="s">
        <f>=-SUM(H2:H5)</f>
      </c>
      <c r="I7" s="0" t="s">
        <v>759</v>
      </c>
      <c r="J7" s="11" t="n">
        <v>45810</v>
      </c>
      <c r="K7" s="8" t="s">
        <f>=-Портфель!J5</f>
      </c>
      <c r="L7" s="0" t="s">
        <v>758</v>
      </c>
      <c r="M7" s="11" t="n">
        <v>45597</v>
      </c>
      <c r="N7" s="6" t="n">
        <v>1236.7</v>
      </c>
      <c r="O7" s="0" t="s">
        <v>757</v>
      </c>
      <c r="P7" s="11" t="n">
        <v>45300</v>
      </c>
      <c r="Q7" s="6" t="n">
        <v>-35.17</v>
      </c>
      <c r="R7" s="0" t="s">
        <v>480</v>
      </c>
      <c r="S7" s="11" t="n">
        <v>45810</v>
      </c>
      <c r="T7" s="8" t="s">
        <f>=-Портфель!J8</f>
      </c>
      <c r="U7" s="0" t="s">
        <v>758</v>
      </c>
      <c r="V7" s="11" t="n">
        <v>45810</v>
      </c>
      <c r="W7" s="8" t="s">
        <f>=-Портфель!J9</f>
      </c>
      <c r="X7" s="0" t="s">
        <v>758</v>
      </c>
      <c r="Y7" s="0"/>
      <c r="Z7" s="8" t="s">
        <f>=-SUM(Z2:Z5)</f>
      </c>
      <c r="AA7" s="0" t="s">
        <v>759</v>
      </c>
      <c r="AB7" s="11" t="n">
        <v>45219</v>
      </c>
      <c r="AC7" s="6" t="n">
        <v>886.15</v>
      </c>
      <c r="AD7" s="0" t="s">
        <v>757</v>
      </c>
      <c r="AE7" s="11" t="n">
        <v>45324</v>
      </c>
      <c r="AF7" s="6" t="n">
        <v>246.14</v>
      </c>
      <c r="AG7" s="0" t="s">
        <v>757</v>
      </c>
      <c r="AH7" s="0"/>
      <c r="AI7" s="8" t="s">
        <f>=-SUM(AI2:AI5)</f>
      </c>
      <c r="AJ7" s="0" t="s">
        <v>759</v>
      </c>
      <c r="AK7" s="11" t="n">
        <v>45639</v>
      </c>
      <c r="AL7" s="6" t="n">
        <v>478.53</v>
      </c>
      <c r="AM7" s="0" t="s">
        <v>757</v>
      </c>
      <c r="AN7" s="0"/>
      <c r="AO7" s="0"/>
      <c r="AP7" s="0"/>
      <c r="AQ7" s="0"/>
      <c r="AR7" s="10" t="s">
        <f>=XIRR(AR2:AR6,AQ2:AQ6)</f>
      </c>
      <c r="AS7" s="0"/>
      <c r="AT7" s="11" t="n">
        <v>45562</v>
      </c>
      <c r="AU7" s="6" t="n">
        <v>-242.4</v>
      </c>
      <c r="AV7" s="0" t="s">
        <v>604</v>
      </c>
      <c r="AW7" s="0"/>
      <c r="AX7" s="0"/>
      <c r="AY7" s="0"/>
      <c r="AZ7" s="0"/>
      <c r="BA7" s="10" t="s">
        <f>=XIRR(BA2:BA6,AZ2:AZ6)</f>
      </c>
      <c r="BB7" s="0"/>
      <c r="BC7" s="0"/>
      <c r="BD7" s="8" t="s">
        <f>=-SUM(BD2:BD5)</f>
      </c>
      <c r="BE7" s="0" t="s">
        <v>759</v>
      </c>
      <c r="BF7" s="0"/>
      <c r="BG7" s="0"/>
      <c r="BH7" s="0"/>
      <c r="BI7" s="0"/>
      <c r="BJ7" s="0"/>
      <c r="BK7" s="0"/>
      <c r="BL7" s="0"/>
      <c r="BM7" s="8" t="s">
        <f>=-SUM(BM2:BM5)</f>
      </c>
      <c r="BN7" s="0" t="s">
        <v>759</v>
      </c>
      <c r="BO7" s="0"/>
      <c r="BP7" s="0"/>
      <c r="BQ7" s="0"/>
      <c r="BR7" s="0"/>
      <c r="BS7" s="0"/>
      <c r="BT7" s="0"/>
      <c r="BU7" s="0"/>
      <c r="BV7" s="0"/>
      <c r="BW7" s="0"/>
      <c r="BX7" s="11" t="n">
        <v>45576</v>
      </c>
      <c r="BY7" s="6" t="n">
        <v>-35.5</v>
      </c>
      <c r="BZ7" s="0" t="s">
        <v>610</v>
      </c>
      <c r="CA7" s="11" t="n">
        <v>45810</v>
      </c>
      <c r="CB7" s="8" t="s">
        <f>=-Портфель!J28</f>
      </c>
      <c r="CC7" s="0" t="s">
        <v>758</v>
      </c>
      <c r="CD7" s="0"/>
      <c r="CE7" s="8" t="s">
        <f>=-SUM(CE2:CE5)</f>
      </c>
      <c r="CF7" s="0" t="s">
        <v>759</v>
      </c>
      <c r="CG7" s="0"/>
      <c r="CH7" s="0"/>
      <c r="CI7" s="0"/>
      <c r="CJ7" s="0"/>
      <c r="CK7" s="0"/>
      <c r="CL7" s="0"/>
      <c r="CM7" s="11" t="n">
        <v>45075</v>
      </c>
      <c r="CN7" s="6" t="s">
        <f>=733.46</f>
      </c>
      <c r="CO7" s="0" t="s">
        <v>757</v>
      </c>
      <c r="CP7" s="11" t="n">
        <v>45280</v>
      </c>
      <c r="CQ7" s="6" t="s">
        <f>=-131.94</f>
      </c>
      <c r="CR7" s="0" t="s">
        <v>476</v>
      </c>
      <c r="CS7" s="11" t="n">
        <v>45091</v>
      </c>
      <c r="CT7" s="6" t="s">
        <f>=726.23</f>
      </c>
      <c r="CU7" s="0" t="s">
        <v>757</v>
      </c>
      <c r="CV7" s="11" t="n">
        <v>45245</v>
      </c>
      <c r="CW7" s="6" t="s">
        <f>=-130.29</f>
      </c>
      <c r="CX7" s="0" t="s">
        <v>462</v>
      </c>
      <c r="CY7" s="11" t="n">
        <v>45104</v>
      </c>
      <c r="CZ7" s="6" t="s">
        <f>=1541.26</f>
      </c>
      <c r="DA7" s="0" t="s">
        <v>757</v>
      </c>
      <c r="DB7" s="11" t="n">
        <v>45184</v>
      </c>
      <c r="DC7" s="6" t="s">
        <f>=776.85</f>
      </c>
      <c r="DD7" s="0" t="s">
        <v>757</v>
      </c>
      <c r="DE7" s="11" t="n">
        <v>45356</v>
      </c>
      <c r="DF7" s="6" t="s">
        <f>=840.66</f>
      </c>
      <c r="DG7" s="0" t="s">
        <v>757</v>
      </c>
      <c r="DH7" s="11" t="n">
        <v>45147</v>
      </c>
      <c r="DI7" s="6" t="s">
        <f>=1568.52</f>
      </c>
      <c r="DJ7" s="0" t="s">
        <v>757</v>
      </c>
      <c r="DK7" s="11" t="n">
        <v>45387</v>
      </c>
      <c r="DL7" s="6" t="s">
        <f>=809.72</f>
      </c>
      <c r="DM7" s="0" t="s">
        <v>757</v>
      </c>
      <c r="DN7" s="11" t="n">
        <v>45441</v>
      </c>
      <c r="DO7" s="6" t="s">
        <f>=-284.22</f>
      </c>
      <c r="DP7" s="0" t="s">
        <v>537</v>
      </c>
      <c r="DQ7" s="11" t="n">
        <v>45506</v>
      </c>
      <c r="DR7" s="6" t="s">
        <f>=746.13</f>
      </c>
      <c r="DS7" s="0" t="s">
        <v>757</v>
      </c>
      <c r="DT7" s="11" t="n">
        <v>45714</v>
      </c>
      <c r="DU7" s="6" t="s">
        <f>=822.39</f>
      </c>
      <c r="DV7" s="0" t="s">
        <v>757</v>
      </c>
      <c r="DW7" s="11" t="n">
        <v>45387</v>
      </c>
      <c r="DX7" s="6" t="s">
        <f>=724.94</f>
      </c>
      <c r="DY7" s="0" t="s">
        <v>757</v>
      </c>
      <c r="DZ7" s="11" t="n">
        <v>45184</v>
      </c>
      <c r="EA7" s="6" t="s">
        <f>=779.89</f>
      </c>
      <c r="EB7" s="0" t="s">
        <v>757</v>
      </c>
      <c r="EC7" s="11" t="n">
        <v>45387</v>
      </c>
      <c r="ED7" s="6" t="s">
        <f>=898.68</f>
      </c>
      <c r="EE7" s="0" t="s">
        <v>757</v>
      </c>
      <c r="EF7" s="11" t="n">
        <v>45447</v>
      </c>
      <c r="EG7" s="6" t="s">
        <f>=1075.09</f>
      </c>
      <c r="EH7" s="0" t="s">
        <v>757</v>
      </c>
      <c r="EI7" s="11" t="n">
        <v>45742</v>
      </c>
      <c r="EJ7" s="6" t="s">
        <f>=-299.2</f>
      </c>
      <c r="EK7" s="0" t="s">
        <v>693</v>
      </c>
      <c r="EL7" s="11" t="n">
        <v>45714</v>
      </c>
      <c r="EM7" s="6" t="s">
        <f>=829.25</f>
      </c>
      <c r="EN7" s="0" t="s">
        <v>757</v>
      </c>
      <c r="EO7" s="11" t="n">
        <v>45267</v>
      </c>
      <c r="EP7" s="6" t="s">
        <f>=926.38</f>
      </c>
      <c r="EQ7" s="0" t="s">
        <v>757</v>
      </c>
      <c r="ER7" s="11" t="n">
        <v>45196</v>
      </c>
      <c r="ES7" s="6" t="s">
        <f>=-59.96</f>
      </c>
      <c r="ET7" s="0" t="s">
        <v>446</v>
      </c>
      <c r="EU7" s="11" t="n">
        <v>46067</v>
      </c>
      <c r="EV7" s="8" t="s">
        <f>=-Портфель!J53</f>
      </c>
      <c r="EW7" s="0" t="s">
        <v>758</v>
      </c>
      <c r="EX7" s="11" t="n">
        <v>45721</v>
      </c>
      <c r="EY7" s="6" t="s">
        <f>=-179.52</f>
      </c>
      <c r="EZ7" s="0" t="s">
        <v>591</v>
      </c>
      <c r="FA7" s="11" t="n">
        <v>45686</v>
      </c>
      <c r="FB7" s="6" t="s">
        <f>=-137.64</f>
      </c>
      <c r="FC7" s="0" t="s">
        <v>671</v>
      </c>
      <c r="FD7" s="0"/>
      <c r="FE7" s="10" t="s">
        <f>=XIRR(FE2:FE6,FD2:FD6)</f>
      </c>
      <c r="FF7" s="0"/>
      <c r="FG7" s="0"/>
      <c r="FH7" s="10" t="s">
        <f>=XIRR(FH2:FH6,FG2:FG6)</f>
      </c>
      <c r="FI7" s="0"/>
      <c r="FJ7" s="0"/>
      <c r="FK7" s="8" t="s">
        <f>=-SUM(FK2:FK5)</f>
      </c>
      <c r="FL7" s="0" t="s">
        <v>759</v>
      </c>
      <c r="FM7" s="11" t="n">
        <v>45906</v>
      </c>
      <c r="FN7" s="8" t="s">
        <f>=-Портфель!J59</f>
      </c>
      <c r="FO7" s="0" t="s">
        <v>758</v>
      </c>
      <c r="FP7" s="0"/>
      <c r="FQ7" s="10" t="s">
        <f>=XIRR(FQ2:FQ6,FP2:FP6)</f>
      </c>
      <c r="FR7" s="0"/>
      <c r="FS7" s="11" t="n">
        <v>45592</v>
      </c>
      <c r="FT7" s="6" t="s">
        <f>=-33.04</f>
      </c>
      <c r="FU7" s="0" t="s">
        <v>619</v>
      </c>
      <c r="FV7" s="11" t="n">
        <v>45282</v>
      </c>
      <c r="FW7" s="6" t="s">
        <f>=-25.92</f>
      </c>
      <c r="FX7" s="0" t="s">
        <v>477</v>
      </c>
      <c r="FY7" s="11" t="n">
        <v>45630</v>
      </c>
      <c r="FZ7" s="6" t="s">
        <f>=-65.32</f>
      </c>
      <c r="GA7" s="0" t="s">
        <v>543</v>
      </c>
      <c r="GB7" s="11" t="n">
        <v>45776</v>
      </c>
      <c r="GC7" s="6" t="s">
        <f>=-58.34</f>
      </c>
      <c r="GD7" s="0" t="s">
        <v>621</v>
      </c>
      <c r="GE7" s="11" t="n">
        <v>45719</v>
      </c>
      <c r="GF7" s="6" t="s">
        <f>=-39.9</f>
      </c>
      <c r="GG7" s="0" t="s">
        <v>589</v>
      </c>
      <c r="GH7" s="0"/>
      <c r="GI7" s="8" t="s">
        <f>=-SUM(GI2:GI5)</f>
      </c>
      <c r="GJ7" s="0" t="s">
        <v>759</v>
      </c>
      <c r="GK7" s="0"/>
      <c r="GL7" s="8" t="s">
        <f>=-SUM(GL2:GL5)</f>
      </c>
      <c r="GM7" s="0" t="s">
        <v>759</v>
      </c>
      <c r="GN7" s="0"/>
      <c r="GO7" s="8" t="s">
        <f>=-SUM(GO2:GO5)</f>
      </c>
      <c r="GP7" s="0" t="s">
        <v>759</v>
      </c>
      <c r="GQ7" s="0"/>
      <c r="GR7" s="8" t="s">
        <f>=-SUM(GR2:GR5)</f>
      </c>
      <c r="GS7" s="0" t="s">
        <v>759</v>
      </c>
      <c r="GT7" s="0"/>
      <c r="GU7" s="8" t="s">
        <f>=-SUM(GU2:GU5)</f>
      </c>
      <c r="GV7" s="0" t="s">
        <v>759</v>
      </c>
      <c r="GW7" s="0"/>
      <c r="GX7" s="8" t="s">
        <f>=-SUM(GX2:GX5)</f>
      </c>
      <c r="GY7" s="0" t="s">
        <v>759</v>
      </c>
      <c r="GZ7" s="11" t="n">
        <v>45653</v>
      </c>
      <c r="HA7" s="6" t="s">
        <f>=-52.66</f>
      </c>
      <c r="HB7" s="0" t="s">
        <v>657</v>
      </c>
      <c r="HC7" s="0"/>
      <c r="HD7" s="0"/>
      <c r="HE7" s="0"/>
      <c r="HF7" s="0"/>
      <c r="HG7" s="0"/>
      <c r="HH7" s="0"/>
      <c r="HI7" s="0"/>
      <c r="HJ7" s="0"/>
      <c r="HK7" s="0"/>
      <c r="HL7" s="11" t="n">
        <v>45721</v>
      </c>
      <c r="HM7" s="6" t="s">
        <f>=-87.01</f>
      </c>
      <c r="HN7" s="0" t="s">
        <v>685</v>
      </c>
      <c r="HO7" s="0"/>
      <c r="HP7" s="8" t="s">
        <f>=-SUM(HP2:HP5)</f>
      </c>
      <c r="HQ7" s="0" t="s">
        <v>759</v>
      </c>
      <c r="HR7" s="0"/>
      <c r="HS7" s="0"/>
      <c r="HT7" s="0"/>
      <c r="HU7" s="11" t="n">
        <v>45496</v>
      </c>
      <c r="HV7" s="6" t="s">
        <f>=-14.59</f>
      </c>
      <c r="HW7" s="0" t="s">
        <v>566</v>
      </c>
      <c r="HX7" s="11" t="n">
        <v>45588</v>
      </c>
      <c r="HY7" s="6" t="s">
        <f>=-48.3</f>
      </c>
      <c r="HZ7" s="0" t="s">
        <v>617</v>
      </c>
      <c r="IA7" s="0"/>
      <c r="IB7" s="8" t="s">
        <f>=-SUM(IB2:IB5)</f>
      </c>
      <c r="IC7" s="0" t="s">
        <v>759</v>
      </c>
      <c r="ID7" s="0"/>
      <c r="IE7" s="8" t="s">
        <f>=-SUM(IE2:IE5)</f>
      </c>
      <c r="IF7" s="0" t="s">
        <v>759</v>
      </c>
      <c r="IG7" s="11" t="n">
        <v>45595</v>
      </c>
      <c r="IH7" s="6" t="s">
        <f>=-44.89</f>
      </c>
      <c r="II7" s="0" t="s">
        <v>622</v>
      </c>
      <c r="IJ7" s="11" t="n">
        <v>45810</v>
      </c>
      <c r="IK7" s="8" t="s">
        <f>=-Портфель!J84</f>
      </c>
      <c r="IL7" s="0" t="s">
        <v>758</v>
      </c>
      <c r="IM7" s="11" t="n">
        <v>45689</v>
      </c>
      <c r="IN7" s="6" t="s">
        <f>=-53.1</f>
      </c>
      <c r="IO7" s="0" t="s">
        <v>434</v>
      </c>
      <c r="IP7" s="0"/>
      <c r="IQ7" s="10" t="s">
        <f>=XIRR(IQ2:IQ6,IP2:IP6)</f>
      </c>
      <c r="IR7" s="0"/>
      <c r="IS7" s="0"/>
      <c r="IT7" s="0"/>
      <c r="IU7" s="0"/>
      <c r="IV7" s="0"/>
      <c r="IW7" s="0"/>
      <c r="IX7" s="0"/>
      <c r="IY7" s="0"/>
      <c r="IZ7" s="8" t="s">
        <f>=-SUM(IZ2:IZ5)</f>
      </c>
      <c r="JA7" s="0" t="s">
        <v>759</v>
      </c>
      <c r="JB7" s="0"/>
      <c r="JC7" s="0"/>
      <c r="JD7" s="0"/>
      <c r="JE7" s="11" t="n">
        <v>45810</v>
      </c>
      <c r="JF7" s="8" t="s">
        <f>=-Портфель!J91</f>
      </c>
      <c r="JG7" s="0" t="s">
        <v>758</v>
      </c>
      <c r="JH7" s="0"/>
      <c r="JI7" s="0"/>
      <c r="JJ7" s="0"/>
      <c r="JK7" s="11" t="n">
        <v>45261</v>
      </c>
      <c r="JL7" s="6" t="s">
        <f>=-24.81</f>
      </c>
      <c r="JM7" s="0" t="s">
        <v>365</v>
      </c>
      <c r="JN7" s="11" t="n">
        <v>45734</v>
      </c>
      <c r="JO7" s="6" t="s">
        <f>=-39.39</f>
      </c>
      <c r="JP7" s="0" t="s">
        <v>385</v>
      </c>
      <c r="JQ7" s="0"/>
      <c r="JR7" s="0"/>
      <c r="JS7" s="0"/>
      <c r="JT7" s="11" t="n">
        <v>45680</v>
      </c>
      <c r="JU7" s="6" t="s">
        <f>=-11.18</f>
      </c>
      <c r="JV7" s="0" t="s">
        <v>598</v>
      </c>
      <c r="JW7" s="11" t="n">
        <v>45635</v>
      </c>
      <c r="JX7" s="6" t="s">
        <f>=-35</f>
      </c>
      <c r="JY7" s="0" t="s">
        <v>473</v>
      </c>
      <c r="JZ7" s="11" t="n">
        <v>45321</v>
      </c>
      <c r="KA7" s="6" t="s">
        <f>=-28.22</f>
      </c>
      <c r="KB7" s="0" t="s">
        <v>373</v>
      </c>
      <c r="KC7" s="0"/>
      <c r="KD7" s="10" t="s">
        <f>=XIRR(KD2:KD6,KC2:KC6)</f>
      </c>
      <c r="KE7" s="0"/>
      <c r="KF7" s="0"/>
      <c r="KG7" s="10" t="s">
        <f>=XIRR(KG2:KG6,KF2:KF6)</f>
      </c>
      <c r="KH7" s="0"/>
      <c r="KI7" s="0"/>
      <c r="KJ7" s="0"/>
      <c r="KK7" s="0"/>
      <c r="KL7" s="0"/>
      <c r="KM7" s="8" t="s">
        <f>=-SUM(KM2:KM5)</f>
      </c>
      <c r="KN7" s="0" t="s">
        <v>759</v>
      </c>
      <c r="KO7" s="11" t="n">
        <v>45266</v>
      </c>
      <c r="KP7" s="6" t="s">
        <f>=-19.87</f>
      </c>
      <c r="KQ7" s="0" t="s">
        <v>367</v>
      </c>
      <c r="KR7" s="11" t="n">
        <v>45677</v>
      </c>
      <c r="KS7" s="6" t="s">
        <f>=-165</f>
      </c>
      <c r="KT7" s="0" t="s">
        <v>660</v>
      </c>
      <c r="KU7" s="11" t="n">
        <v>45344</v>
      </c>
      <c r="KV7" s="6" t="s">
        <f>=-10.83</f>
      </c>
      <c r="KW7" s="0" t="s">
        <v>405</v>
      </c>
      <c r="KX7" s="11" t="n">
        <v>45791</v>
      </c>
      <c r="KY7" s="6" t="s">
        <f>=-4.67</f>
      </c>
      <c r="KZ7" s="0" t="s">
        <v>527</v>
      </c>
      <c r="LA7" s="11" t="n">
        <v>45539</v>
      </c>
      <c r="LB7" s="6" t="s">
        <f>=-67</f>
      </c>
      <c r="LC7" s="0" t="s">
        <v>499</v>
      </c>
      <c r="LD7" s="11" t="n">
        <v>45022</v>
      </c>
      <c r="LE7" s="6" t="s">
        <f>=-20.94</f>
      </c>
      <c r="LF7" s="0" t="s">
        <v>349</v>
      </c>
    </row>
    <row collapsed="false" customFormat="false" customHeight="false" hidden="false" ht="12.1" outlineLevel="0" r="8">
      <c r="A8" s="11" t="n">
        <v>45198</v>
      </c>
      <c r="B8" s="6" t="n">
        <v>2615.22</v>
      </c>
      <c r="C8" s="0" t="s">
        <v>757</v>
      </c>
      <c r="D8" s="0"/>
      <c r="E8" s="10" t="s">
        <f>=XIRR(E2:E7,D2:D7)</f>
      </c>
      <c r="F8" s="0"/>
      <c r="G8" s="0"/>
      <c r="H8" s="0"/>
      <c r="I8" s="0"/>
      <c r="J8" s="0"/>
      <c r="K8" s="10" t="s">
        <f>=XIRR(K2:K7,J2:J7)</f>
      </c>
      <c r="L8" s="0"/>
      <c r="M8" s="11" t="n">
        <v>45729</v>
      </c>
      <c r="N8" s="6" t="n">
        <v>1644.22</v>
      </c>
      <c r="O8" s="0" t="s">
        <v>757</v>
      </c>
      <c r="P8" s="11" t="n">
        <v>45482</v>
      </c>
      <c r="Q8" s="6" t="n">
        <v>-25.17</v>
      </c>
      <c r="R8" s="0" t="s">
        <v>558</v>
      </c>
      <c r="S8" s="0"/>
      <c r="T8" s="10" t="s">
        <f>=XIRR(T2:T7,S2:S7)</f>
      </c>
      <c r="U8" s="0"/>
      <c r="V8" s="0"/>
      <c r="W8" s="10" t="s">
        <f>=XIRR(W2:W7,V2:V7)</f>
      </c>
      <c r="X8" s="0"/>
      <c r="Y8" s="0"/>
      <c r="Z8" s="0"/>
      <c r="AA8" s="0"/>
      <c r="AB8" s="11" t="n">
        <v>45244</v>
      </c>
      <c r="AC8" s="6" t="n">
        <v>428.28</v>
      </c>
      <c r="AD8" s="0" t="s">
        <v>757</v>
      </c>
      <c r="AE8" s="11" t="n">
        <v>45356</v>
      </c>
      <c r="AF8" s="6" t="n">
        <v>475.72</v>
      </c>
      <c r="AG8" s="0" t="s">
        <v>757</v>
      </c>
      <c r="AH8" s="0"/>
      <c r="AI8" s="0"/>
      <c r="AJ8" s="0"/>
      <c r="AK8" s="11" t="n">
        <v>45810</v>
      </c>
      <c r="AL8" s="8" t="s">
        <f>=-Портфель!J14</f>
      </c>
      <c r="AM8" s="0" t="s">
        <v>758</v>
      </c>
      <c r="AN8" s="0"/>
      <c r="AO8" s="0"/>
      <c r="AP8" s="0"/>
      <c r="AQ8" s="0"/>
      <c r="AR8" s="8" t="s">
        <f>=-SUM(AR2:AR6)</f>
      </c>
      <c r="AS8" s="0" t="s">
        <v>759</v>
      </c>
      <c r="AT8" s="11" t="n">
        <v>45639</v>
      </c>
      <c r="AU8" s="6" t="n">
        <v>511.73</v>
      </c>
      <c r="AV8" s="0" t="s">
        <v>757</v>
      </c>
      <c r="AW8" s="0"/>
      <c r="AX8" s="0"/>
      <c r="AY8" s="0"/>
      <c r="AZ8" s="0"/>
      <c r="BA8" s="8" t="s">
        <f>=-SUM(BA2:BA6)</f>
      </c>
      <c r="BB8" s="0" t="s">
        <v>759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11" t="n">
        <v>45775</v>
      </c>
      <c r="BY8" s="6" t="n">
        <v>-46.65</v>
      </c>
      <c r="BZ8" s="0" t="s">
        <v>718</v>
      </c>
      <c r="CA8" s="0"/>
      <c r="CB8" s="10" t="s">
        <f>=XIRR(CB2:CB7,CA2:CA7)</f>
      </c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s">
        <f>=1463.11</f>
      </c>
      <c r="CO8" s="0" t="s">
        <v>757</v>
      </c>
      <c r="CP8" s="11" t="n">
        <v>45303</v>
      </c>
      <c r="CQ8" s="6" t="s">
        <f>=2115.05</f>
      </c>
      <c r="CR8" s="0" t="s">
        <v>757</v>
      </c>
      <c r="CS8" s="11" t="n">
        <v>45104</v>
      </c>
      <c r="CT8" s="6" t="s">
        <f>=1438.4</f>
      </c>
      <c r="CU8" s="0" t="s">
        <v>757</v>
      </c>
      <c r="CV8" s="11" t="n">
        <v>45427</v>
      </c>
      <c r="CW8" s="6" t="s">
        <f>=-173.52</f>
      </c>
      <c r="CX8" s="0" t="s">
        <v>528</v>
      </c>
      <c r="CY8" s="11" t="n">
        <v>45154</v>
      </c>
      <c r="CZ8" s="6" t="s">
        <f>=-244.3</f>
      </c>
      <c r="DA8" s="0" t="s">
        <v>435</v>
      </c>
      <c r="DB8" s="11" t="n">
        <v>45203</v>
      </c>
      <c r="DC8" s="6" t="s">
        <f>=-191.95</f>
      </c>
      <c r="DD8" s="0" t="s">
        <v>449</v>
      </c>
      <c r="DE8" s="11" t="n">
        <v>45399</v>
      </c>
      <c r="DF8" s="6" t="s">
        <f>=-190.75</f>
      </c>
      <c r="DG8" s="0" t="s">
        <v>519</v>
      </c>
      <c r="DH8" s="11" t="n">
        <v>45184</v>
      </c>
      <c r="DI8" s="6" t="s">
        <f>=763.63</f>
      </c>
      <c r="DJ8" s="0" t="s">
        <v>757</v>
      </c>
      <c r="DK8" s="11" t="n">
        <v>45447</v>
      </c>
      <c r="DL8" s="6" t="s">
        <f>=725.16</f>
      </c>
      <c r="DM8" s="0" t="s">
        <v>757</v>
      </c>
      <c r="DN8" s="11" t="n">
        <v>45506</v>
      </c>
      <c r="DO8" s="6" t="s">
        <f>=757.91</f>
      </c>
      <c r="DP8" s="0" t="s">
        <v>757</v>
      </c>
      <c r="DQ8" s="11" t="n">
        <v>45560</v>
      </c>
      <c r="DR8" s="6" t="s">
        <f>=-211.9</f>
      </c>
      <c r="DS8" s="0" t="s">
        <v>597</v>
      </c>
      <c r="DT8" s="11" t="n">
        <v>45714</v>
      </c>
      <c r="DU8" s="6" t="s">
        <f>=822.39</f>
      </c>
      <c r="DV8" s="0" t="s">
        <v>757</v>
      </c>
      <c r="DW8" s="11" t="n">
        <v>45387</v>
      </c>
      <c r="DX8" s="6" t="s">
        <f>=724.95</f>
      </c>
      <c r="DY8" s="0" t="s">
        <v>757</v>
      </c>
      <c r="DZ8" s="11" t="n">
        <v>45184</v>
      </c>
      <c r="EA8" s="6" t="s">
        <f>=780.39</f>
      </c>
      <c r="EB8" s="0" t="s">
        <v>757</v>
      </c>
      <c r="EC8" s="11" t="n">
        <v>45506</v>
      </c>
      <c r="ED8" s="6" t="s">
        <f>=852.79</f>
      </c>
      <c r="EE8" s="0" t="s">
        <v>757</v>
      </c>
      <c r="EF8" s="11" t="n">
        <v>45447</v>
      </c>
      <c r="EG8" s="6" t="s">
        <f>=1075.09</f>
      </c>
      <c r="EH8" s="0" t="s">
        <v>757</v>
      </c>
      <c r="EI8" s="11" t="n">
        <v>45776</v>
      </c>
      <c r="EJ8" s="6" t="s">
        <f>=837.69</f>
      </c>
      <c r="EK8" s="0" t="s">
        <v>757</v>
      </c>
      <c r="EL8" s="11" t="n">
        <v>45776</v>
      </c>
      <c r="EM8" s="6" t="s">
        <f>=873.64</f>
      </c>
      <c r="EN8" s="0" t="s">
        <v>757</v>
      </c>
      <c r="EO8" s="11" t="n">
        <v>45434</v>
      </c>
      <c r="EP8" s="6" t="s">
        <f>=-81.78</f>
      </c>
      <c r="EQ8" s="0" t="s">
        <v>532</v>
      </c>
      <c r="ER8" s="11" t="n">
        <v>45378</v>
      </c>
      <c r="ES8" s="6" t="s">
        <f>=-62.64</f>
      </c>
      <c r="ET8" s="0" t="s">
        <v>510</v>
      </c>
      <c r="EU8" s="0"/>
      <c r="EV8" s="10" t="s">
        <f>=XIRR(EV2:EV7,EU2:EU7)</f>
      </c>
      <c r="EW8" s="0"/>
      <c r="EX8" s="11" t="n">
        <v>45810</v>
      </c>
      <c r="EY8" s="8" t="s">
        <f>=-Портфель!J54</f>
      </c>
      <c r="EZ8" s="0" t="s">
        <v>758</v>
      </c>
      <c r="FA8" s="11" t="n">
        <v>45812</v>
      </c>
      <c r="FB8" s="8" t="s">
        <f>=-Портфель!J55</f>
      </c>
      <c r="FC8" s="0" t="s">
        <v>758</v>
      </c>
      <c r="FD8" s="0"/>
      <c r="FE8" s="8" t="s">
        <f>=-SUM(FE2:FE6)</f>
      </c>
      <c r="FF8" s="0" t="s">
        <v>759</v>
      </c>
      <c r="FG8" s="0"/>
      <c r="FH8" s="8" t="s">
        <f>=-SUM(FH2:FH6)</f>
      </c>
      <c r="FI8" s="0" t="s">
        <v>759</v>
      </c>
      <c r="FJ8" s="0"/>
      <c r="FK8" s="0"/>
      <c r="FL8" s="0"/>
      <c r="FM8" s="0"/>
      <c r="FN8" s="10" t="s">
        <f>=XIRR(FN2:FN7,FM2:FM7)</f>
      </c>
      <c r="FO8" s="0"/>
      <c r="FP8" s="0"/>
      <c r="FQ8" s="8" t="s">
        <f>=-SUM(FQ2:FQ6)</f>
      </c>
      <c r="FR8" s="0" t="s">
        <v>759</v>
      </c>
      <c r="FS8" s="11" t="n">
        <v>45622</v>
      </c>
      <c r="FT8" s="6" t="s">
        <f>=-33.04</f>
      </c>
      <c r="FU8" s="0" t="s">
        <v>619</v>
      </c>
      <c r="FV8" s="11" t="n">
        <v>45313</v>
      </c>
      <c r="FW8" s="6" t="s">
        <f>=-27.98</f>
      </c>
      <c r="FX8" s="0" t="s">
        <v>484</v>
      </c>
      <c r="FY8" s="11" t="n">
        <v>45810</v>
      </c>
      <c r="FZ8" s="8" t="s">
        <f>=-Портфель!J63</f>
      </c>
      <c r="GA8" s="0" t="s">
        <v>758</v>
      </c>
      <c r="GB8" s="11" t="n">
        <v>45836</v>
      </c>
      <c r="GC8" s="8" t="s">
        <f>=-Портфель!J64</f>
      </c>
      <c r="GD8" s="0" t="s">
        <v>758</v>
      </c>
      <c r="GE8" s="11" t="n">
        <v>45810</v>
      </c>
      <c r="GF8" s="8" t="s">
        <f>=-Портфель!J65</f>
      </c>
      <c r="GG8" s="0" t="s">
        <v>758</v>
      </c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11" t="n">
        <v>45810</v>
      </c>
      <c r="HA8" s="8" t="s">
        <f>=-Портфель!J72</f>
      </c>
      <c r="HB8" s="0" t="s">
        <v>758</v>
      </c>
      <c r="HC8" s="0"/>
      <c r="HD8" s="0"/>
      <c r="HE8" s="0"/>
      <c r="HF8" s="0"/>
      <c r="HG8" s="0"/>
      <c r="HH8" s="0"/>
      <c r="HI8" s="0"/>
      <c r="HJ8" s="0"/>
      <c r="HK8" s="0"/>
      <c r="HL8" s="11" t="n">
        <v>45810</v>
      </c>
      <c r="HM8" s="8" t="s">
        <f>=-Портфель!J76</f>
      </c>
      <c r="HN8" s="0" t="s">
        <v>758</v>
      </c>
      <c r="HO8" s="0"/>
      <c r="HP8" s="0"/>
      <c r="HQ8" s="0"/>
      <c r="HR8" s="0"/>
      <c r="HS8" s="0"/>
      <c r="HT8" s="0"/>
      <c r="HU8" s="11" t="n">
        <v>45527</v>
      </c>
      <c r="HV8" s="6" t="s">
        <f>=-14.54</f>
      </c>
      <c r="HW8" s="0" t="s">
        <v>505</v>
      </c>
      <c r="HX8" s="11" t="n">
        <v>45679</v>
      </c>
      <c r="HY8" s="6" t="s">
        <f>=-55.05</f>
      </c>
      <c r="HZ8" s="0" t="s">
        <v>663</v>
      </c>
      <c r="IA8" s="0"/>
      <c r="IB8" s="0"/>
      <c r="IC8" s="0"/>
      <c r="ID8" s="0"/>
      <c r="IE8" s="0"/>
      <c r="IF8" s="0"/>
      <c r="IG8" s="11" t="n">
        <v>45686</v>
      </c>
      <c r="IH8" s="6" t="s">
        <f>=-51.52</f>
      </c>
      <c r="II8" s="0" t="s">
        <v>670</v>
      </c>
      <c r="IJ8" s="0"/>
      <c r="IK8" s="10" t="s">
        <f>=XIRR(IK2:IK7,IJ2:IJ7)</f>
      </c>
      <c r="IL8" s="0"/>
      <c r="IM8" s="11" t="n">
        <v>45810</v>
      </c>
      <c r="IN8" s="8" t="s">
        <f>=-Портфель!J85</f>
      </c>
      <c r="IO8" s="0" t="s">
        <v>758</v>
      </c>
      <c r="IP8" s="0"/>
      <c r="IQ8" s="8" t="s">
        <f>=-SUM(IQ2:IQ6)</f>
      </c>
      <c r="IR8" s="0" t="s">
        <v>759</v>
      </c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10" t="s">
        <f>=XIRR(JF2:JF7,JE2:JE7)</f>
      </c>
      <c r="JG8" s="0"/>
      <c r="JH8" s="0"/>
      <c r="JI8" s="0"/>
      <c r="JJ8" s="0"/>
      <c r="JK8" s="11" t="n">
        <v>45352</v>
      </c>
      <c r="JL8" s="6" t="s">
        <f>=-24.81</f>
      </c>
      <c r="JM8" s="0" t="s">
        <v>365</v>
      </c>
      <c r="JN8" s="11" t="n">
        <v>45810</v>
      </c>
      <c r="JO8" s="8" t="s">
        <f>=-Портфель!J94</f>
      </c>
      <c r="JP8" s="0" t="s">
        <v>758</v>
      </c>
      <c r="JQ8" s="0"/>
      <c r="JR8" s="0"/>
      <c r="JS8" s="0"/>
      <c r="JT8" s="11" t="n">
        <v>45710</v>
      </c>
      <c r="JU8" s="6" t="s">
        <f>=-11.18</f>
      </c>
      <c r="JV8" s="0" t="s">
        <v>598</v>
      </c>
      <c r="JW8" s="11" t="n">
        <v>45636</v>
      </c>
      <c r="JX8" s="6" t="s">
        <f>=-30.12</f>
      </c>
      <c r="JY8" s="0" t="s">
        <v>547</v>
      </c>
      <c r="JZ8" s="11" t="n">
        <v>45412</v>
      </c>
      <c r="KA8" s="6" t="s">
        <f>=-28.22</f>
      </c>
      <c r="KB8" s="0" t="s">
        <v>373</v>
      </c>
      <c r="KC8" s="0"/>
      <c r="KD8" s="8" t="s">
        <f>=-SUM(KD2:KD6)</f>
      </c>
      <c r="KE8" s="0" t="s">
        <v>759</v>
      </c>
      <c r="KF8" s="0"/>
      <c r="KG8" s="8" t="s">
        <f>=-SUM(KG2:KG6)</f>
      </c>
      <c r="KH8" s="0" t="s">
        <v>759</v>
      </c>
      <c r="KI8" s="0"/>
      <c r="KJ8" s="0"/>
      <c r="KK8" s="0"/>
      <c r="KL8" s="0"/>
      <c r="KM8" s="0"/>
      <c r="KN8" s="0"/>
      <c r="KO8" s="11" t="n">
        <v>45357</v>
      </c>
      <c r="KP8" s="6" t="s">
        <f>=-19.87</f>
      </c>
      <c r="KQ8" s="0" t="s">
        <v>367</v>
      </c>
      <c r="KR8" s="11" t="n">
        <v>45678</v>
      </c>
      <c r="KS8" s="6" t="s">
        <f>=-34.28</f>
      </c>
      <c r="KT8" s="0" t="s">
        <v>485</v>
      </c>
      <c r="KU8" s="11" t="n">
        <v>45435</v>
      </c>
      <c r="KV8" s="6" t="s">
        <f>=-8.66</f>
      </c>
      <c r="KW8" s="0" t="s">
        <v>535</v>
      </c>
      <c r="KX8" s="11" t="n">
        <v>45810</v>
      </c>
      <c r="KY8" s="8" t="s">
        <f>=-Портфель!J106</f>
      </c>
      <c r="KZ8" s="0" t="s">
        <v>758</v>
      </c>
      <c r="LA8" s="11" t="n">
        <v>45540</v>
      </c>
      <c r="LB8" s="6" t="s">
        <f>=-11.45</f>
      </c>
      <c r="LC8" s="0" t="s">
        <v>592</v>
      </c>
      <c r="LD8" s="11" t="n">
        <v>45112</v>
      </c>
      <c r="LE8" s="6" t="s">
        <f>=-200</f>
      </c>
      <c r="LF8" s="0" t="s">
        <v>339</v>
      </c>
    </row>
    <row collapsed="false" customFormat="false" customHeight="false" hidden="false" ht="12.1" outlineLevel="0" r="9">
      <c r="A9" s="11" t="n">
        <v>45219</v>
      </c>
      <c r="B9" s="6" t="n">
        <v>2680.72</v>
      </c>
      <c r="C9" s="0" t="s">
        <v>757</v>
      </c>
      <c r="D9" s="0"/>
      <c r="E9" s="8" t="s">
        <f>=-SUM(E2:E7)</f>
      </c>
      <c r="F9" s="0" t="s">
        <v>759</v>
      </c>
      <c r="G9" s="0"/>
      <c r="H9" s="0"/>
      <c r="I9" s="0"/>
      <c r="J9" s="0"/>
      <c r="K9" s="8" t="s">
        <f>=-SUM(K2:K7)</f>
      </c>
      <c r="L9" s="0" t="s">
        <v>759</v>
      </c>
      <c r="M9" s="11" t="n">
        <v>45810</v>
      </c>
      <c r="N9" s="8" t="s">
        <f>=-Портфель!J6</f>
      </c>
      <c r="O9" s="0" t="s">
        <v>758</v>
      </c>
      <c r="P9" s="11" t="n">
        <v>45573</v>
      </c>
      <c r="Q9" s="6" t="n">
        <v>-38.2</v>
      </c>
      <c r="R9" s="0" t="s">
        <v>608</v>
      </c>
      <c r="S9" s="0"/>
      <c r="T9" s="8" t="s">
        <f>=-SUM(T2:T7)</f>
      </c>
      <c r="U9" s="0" t="s">
        <v>759</v>
      </c>
      <c r="V9" s="0"/>
      <c r="W9" s="8" t="s">
        <f>=-SUM(W2:W7)</f>
      </c>
      <c r="X9" s="0" t="s">
        <v>759</v>
      </c>
      <c r="Y9" s="0"/>
      <c r="Z9" s="0"/>
      <c r="AA9" s="0"/>
      <c r="AB9" s="11" t="n">
        <v>45324</v>
      </c>
      <c r="AC9" s="6" t="n">
        <v>406.52</v>
      </c>
      <c r="AD9" s="0" t="s">
        <v>757</v>
      </c>
      <c r="AE9" s="11" t="n">
        <v>45541</v>
      </c>
      <c r="AF9" s="6" t="n">
        <v>698.97</v>
      </c>
      <c r="AG9" s="0" t="s">
        <v>757</v>
      </c>
      <c r="AH9" s="0"/>
      <c r="AI9" s="0"/>
      <c r="AJ9" s="0"/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11" t="n">
        <v>45810</v>
      </c>
      <c r="AU9" s="8" t="s">
        <f>=-Портфель!J17</f>
      </c>
      <c r="AV9" s="0" t="s">
        <v>758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11" t="n">
        <v>45810</v>
      </c>
      <c r="BY9" s="8" t="s">
        <f>=-Портфель!J27</f>
      </c>
      <c r="BZ9" s="0" t="s">
        <v>758</v>
      </c>
      <c r="CA9" s="0"/>
      <c r="CB9" s="8" t="s">
        <f>=-SUM(CB2:CB7)</f>
      </c>
      <c r="CC9" s="0" t="s">
        <v>759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s">
        <f>=1453.76</f>
      </c>
      <c r="CO9" s="0" t="s">
        <v>757</v>
      </c>
      <c r="CP9" s="11" t="n">
        <v>45351</v>
      </c>
      <c r="CQ9" s="6" t="s">
        <f>=1075.01</f>
      </c>
      <c r="CR9" s="0" t="s">
        <v>757</v>
      </c>
      <c r="CS9" s="11" t="n">
        <v>45184</v>
      </c>
      <c r="CT9" s="6" t="s">
        <f>=702.08</f>
      </c>
      <c r="CU9" s="0" t="s">
        <v>757</v>
      </c>
      <c r="CV9" s="11" t="n">
        <v>45447</v>
      </c>
      <c r="CW9" s="6" t="s">
        <f>=1067.75</f>
      </c>
      <c r="CX9" s="0" t="s">
        <v>757</v>
      </c>
      <c r="CY9" s="11" t="n">
        <v>45184</v>
      </c>
      <c r="CZ9" s="6" t="s">
        <f>=720.42</f>
      </c>
      <c r="DA9" s="0" t="s">
        <v>757</v>
      </c>
      <c r="DB9" s="11" t="n">
        <v>45240</v>
      </c>
      <c r="DC9" s="6" t="s">
        <f>=746.54</f>
      </c>
      <c r="DD9" s="0" t="s">
        <v>757</v>
      </c>
      <c r="DE9" s="11" t="n">
        <v>45447</v>
      </c>
      <c r="DF9" s="6" t="s">
        <f>=743.9</f>
      </c>
      <c r="DG9" s="0" t="s">
        <v>757</v>
      </c>
      <c r="DH9" s="11" t="n">
        <v>45184</v>
      </c>
      <c r="DI9" s="6" t="s">
        <f>=763.59</f>
      </c>
      <c r="DJ9" s="0" t="s">
        <v>757</v>
      </c>
      <c r="DK9" s="11" t="n">
        <v>45448</v>
      </c>
      <c r="DL9" s="6" t="s">
        <f>=-390.96</f>
      </c>
      <c r="DM9" s="0" t="s">
        <v>542</v>
      </c>
      <c r="DN9" s="11" t="n">
        <v>45566</v>
      </c>
      <c r="DO9" s="6" t="s">
        <f>=731.87</f>
      </c>
      <c r="DP9" s="0" t="s">
        <v>757</v>
      </c>
      <c r="DQ9" s="11" t="n">
        <v>45566</v>
      </c>
      <c r="DR9" s="6" t="s">
        <f>=682.15</f>
      </c>
      <c r="DS9" s="0" t="s">
        <v>757</v>
      </c>
      <c r="DT9" s="11" t="n">
        <v>45714</v>
      </c>
      <c r="DU9" s="6" t="s">
        <f>=822.2</f>
      </c>
      <c r="DV9" s="0" t="s">
        <v>757</v>
      </c>
      <c r="DW9" s="11" t="n">
        <v>45447</v>
      </c>
      <c r="DX9" s="6" t="s">
        <f>=690.86</f>
      </c>
      <c r="DY9" s="0" t="s">
        <v>757</v>
      </c>
      <c r="DZ9" s="11" t="n">
        <v>45240</v>
      </c>
      <c r="EA9" s="6" t="s">
        <f>=791.63</f>
      </c>
      <c r="EB9" s="0" t="s">
        <v>757</v>
      </c>
      <c r="EC9" s="11" t="n">
        <v>45560</v>
      </c>
      <c r="ED9" s="6" t="s">
        <f>=-392.7</f>
      </c>
      <c r="EE9" s="0" t="s">
        <v>600</v>
      </c>
      <c r="EF9" s="11" t="n">
        <v>45506</v>
      </c>
      <c r="EG9" s="6" t="s">
        <f>=1099.94</f>
      </c>
      <c r="EH9" s="0" t="s">
        <v>757</v>
      </c>
      <c r="EI9" s="11" t="n">
        <v>46067</v>
      </c>
      <c r="EJ9" s="8" t="s">
        <f>=-Портфель!J49</f>
      </c>
      <c r="EK9" s="0" t="s">
        <v>758</v>
      </c>
      <c r="EL9" s="11" t="n">
        <v>45805</v>
      </c>
      <c r="EM9" s="6" t="s">
        <f>=-366.48</f>
      </c>
      <c r="EN9" s="0" t="s">
        <v>747</v>
      </c>
      <c r="EO9" s="11" t="n">
        <v>45616</v>
      </c>
      <c r="EP9" s="6" t="s">
        <f>=-84.9</f>
      </c>
      <c r="EQ9" s="0" t="s">
        <v>629</v>
      </c>
      <c r="ER9" s="11" t="n">
        <v>45560</v>
      </c>
      <c r="ES9" s="6" t="s">
        <f>=-65.04</f>
      </c>
      <c r="ET9" s="0" t="s">
        <v>599</v>
      </c>
      <c r="EU9" s="0"/>
      <c r="EV9" s="8" t="s">
        <f>=-SUM(EV2:EV7)</f>
      </c>
      <c r="EW9" s="0" t="s">
        <v>759</v>
      </c>
      <c r="EX9" s="0"/>
      <c r="EY9" s="10" t="s">
        <f>=XIRR(EY2:EY8,EX2:EX8)</f>
      </c>
      <c r="EZ9" s="0"/>
      <c r="FA9" s="0"/>
      <c r="FB9" s="10" t="s">
        <f>=XIRR(FB2:FB8,FA2:FA8)</f>
      </c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8" t="s">
        <f>=-SUM(FN2:FN7)</f>
      </c>
      <c r="FO9" s="0" t="s">
        <v>759</v>
      </c>
      <c r="FP9" s="0"/>
      <c r="FQ9" s="0"/>
      <c r="FR9" s="0"/>
      <c r="FS9" s="11" t="n">
        <v>45652</v>
      </c>
      <c r="FT9" s="6" t="s">
        <f>=-36.32</f>
      </c>
      <c r="FU9" s="0" t="s">
        <v>655</v>
      </c>
      <c r="FV9" s="11" t="n">
        <v>45344</v>
      </c>
      <c r="FW9" s="6" t="s">
        <f>=-28.6</f>
      </c>
      <c r="FX9" s="0" t="s">
        <v>497</v>
      </c>
      <c r="FY9" s="0"/>
      <c r="FZ9" s="10" t="s">
        <f>=XIRR(FZ2:FZ8,FY2:FY8)</f>
      </c>
      <c r="GA9" s="0"/>
      <c r="GB9" s="0"/>
      <c r="GC9" s="10" t="s">
        <f>=XIRR(GC2:GC8,GB2:GB8)</f>
      </c>
      <c r="GD9" s="0"/>
      <c r="GE9" s="0"/>
      <c r="GF9" s="10" t="s">
        <f>=XIRR(GF2:GF8,GE2:GE8)</f>
      </c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10" t="s">
        <f>=XIRR(HA2:HA8,GZ2:GZ8)</f>
      </c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10" t="s">
        <f>=XIRR(HM2:HM8,HL2:HL8)</f>
      </c>
      <c r="HN9" s="0"/>
      <c r="HO9" s="0"/>
      <c r="HP9" s="0"/>
      <c r="HQ9" s="0"/>
      <c r="HR9" s="0"/>
      <c r="HS9" s="0"/>
      <c r="HT9" s="0"/>
      <c r="HU9" s="11" t="n">
        <v>45558</v>
      </c>
      <c r="HV9" s="6" t="s">
        <f>=-15.3</f>
      </c>
      <c r="HW9" s="0" t="s">
        <v>595</v>
      </c>
      <c r="HX9" s="11" t="n">
        <v>45770</v>
      </c>
      <c r="HY9" s="6" t="s">
        <f>=-56.52</f>
      </c>
      <c r="HZ9" s="0" t="s">
        <v>716</v>
      </c>
      <c r="IA9" s="0"/>
      <c r="IB9" s="0"/>
      <c r="IC9" s="0"/>
      <c r="ID9" s="0"/>
      <c r="IE9" s="0"/>
      <c r="IF9" s="0"/>
      <c r="IG9" s="11" t="n">
        <v>45777</v>
      </c>
      <c r="IH9" s="6" t="s">
        <f>=-52.59</f>
      </c>
      <c r="II9" s="0" t="s">
        <v>722</v>
      </c>
      <c r="IJ9" s="0"/>
      <c r="IK9" s="8" t="s">
        <f>=-SUM(IK2:IK7)</f>
      </c>
      <c r="IL9" s="0" t="s">
        <v>759</v>
      </c>
      <c r="IM9" s="0"/>
      <c r="IN9" s="10" t="s">
        <f>=XIRR(IN2:IN8,IM2:IM8)</f>
      </c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8" t="s">
        <f>=-SUM(JF2:JF7)</f>
      </c>
      <c r="JG9" s="0" t="s">
        <v>759</v>
      </c>
      <c r="JH9" s="0"/>
      <c r="JI9" s="0"/>
      <c r="JJ9" s="0"/>
      <c r="JK9" s="11" t="n">
        <v>45443</v>
      </c>
      <c r="JL9" s="6" t="s">
        <f>=-24.81</f>
      </c>
      <c r="JM9" s="0" t="s">
        <v>365</v>
      </c>
      <c r="JN9" s="0"/>
      <c r="JO9" s="10" t="s">
        <f>=XIRR(JO2:JO8,JN2:JN8)</f>
      </c>
      <c r="JP9" s="0"/>
      <c r="JQ9" s="0"/>
      <c r="JR9" s="0"/>
      <c r="JS9" s="0"/>
      <c r="JT9" s="11" t="n">
        <v>45740</v>
      </c>
      <c r="JU9" s="6" t="s">
        <f>=-11.18</f>
      </c>
      <c r="JV9" s="0" t="s">
        <v>598</v>
      </c>
      <c r="JW9" s="11" t="n">
        <v>45810</v>
      </c>
      <c r="JX9" s="8" t="s">
        <f>=-Портфель!J97</f>
      </c>
      <c r="JY9" s="0" t="s">
        <v>758</v>
      </c>
      <c r="JZ9" s="11" t="n">
        <v>45503</v>
      </c>
      <c r="KA9" s="6" t="s">
        <f>=-28.22</f>
      </c>
      <c r="KB9" s="0" t="s">
        <v>373</v>
      </c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11" t="n">
        <v>45448</v>
      </c>
      <c r="KP9" s="6" t="s">
        <f>=-19.87</f>
      </c>
      <c r="KQ9" s="0" t="s">
        <v>367</v>
      </c>
      <c r="KR9" s="11" t="n">
        <v>45768</v>
      </c>
      <c r="KS9" s="6" t="s">
        <f>=-165</f>
      </c>
      <c r="KT9" s="0" t="s">
        <v>660</v>
      </c>
      <c r="KU9" s="11" t="n">
        <v>45526</v>
      </c>
      <c r="KV9" s="6" t="s">
        <f>=-8.66</f>
      </c>
      <c r="KW9" s="0" t="s">
        <v>535</v>
      </c>
      <c r="KX9" s="0"/>
      <c r="KY9" s="10" t="s">
        <f>=XIRR(KY2:KY8,KX2:KX8)</f>
      </c>
      <c r="KZ9" s="0"/>
      <c r="LA9" s="11" t="n">
        <v>45630</v>
      </c>
      <c r="LB9" s="6" t="s">
        <f>=-67</f>
      </c>
      <c r="LC9" s="0" t="s">
        <v>499</v>
      </c>
      <c r="LD9" s="11" t="n">
        <v>45113</v>
      </c>
      <c r="LE9" s="6" t="s">
        <f>=-20.94</f>
      </c>
      <c r="LF9" s="0" t="s">
        <v>349</v>
      </c>
    </row>
    <row collapsed="false" customFormat="false" customHeight="false" hidden="false" ht="12.1" outlineLevel="0" r="10">
      <c r="A10" s="11" t="n">
        <v>45244</v>
      </c>
      <c r="B10" s="6" t="n">
        <v>2838.29</v>
      </c>
      <c r="C10" s="0" t="s">
        <v>757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11" t="n">
        <v>45597</v>
      </c>
      <c r="Q10" s="6" t="n">
        <v>540.52</v>
      </c>
      <c r="R10" s="0" t="s">
        <v>757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45356</v>
      </c>
      <c r="AC10" s="6" t="n">
        <v>407.77</v>
      </c>
      <c r="AD10" s="0" t="s">
        <v>757</v>
      </c>
      <c r="AE10" s="11" t="n">
        <v>45729</v>
      </c>
      <c r="AF10" s="6" t="n">
        <v>1784.74</v>
      </c>
      <c r="AG10" s="0" t="s">
        <v>757</v>
      </c>
      <c r="AH10" s="0"/>
      <c r="AI10" s="0"/>
      <c r="AJ10" s="0"/>
      <c r="AK10" s="0"/>
      <c r="AL10" s="8" t="s">
        <f>=-SUM(AL2:AL8)</f>
      </c>
      <c r="AM10" s="0" t="s">
        <v>759</v>
      </c>
      <c r="AN10" s="0"/>
      <c r="AO10" s="0"/>
      <c r="AP10" s="0"/>
      <c r="AQ10" s="0"/>
      <c r="AR10" s="0"/>
      <c r="AS10" s="0"/>
      <c r="AT10" s="0"/>
      <c r="AU10" s="10" t="s">
        <f>=XIRR(AU2:AU9,AT2:AT9)</f>
      </c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s">
        <f>=1449.34</f>
      </c>
      <c r="CO10" s="0" t="s">
        <v>757</v>
      </c>
      <c r="CP10" s="11" t="n">
        <v>45356</v>
      </c>
      <c r="CQ10" s="6" t="s">
        <f>=1076.54</f>
      </c>
      <c r="CR10" s="0" t="s">
        <v>757</v>
      </c>
      <c r="CS10" s="11" t="n">
        <v>45184</v>
      </c>
      <c r="CT10" s="6" t="s">
        <f>=702.08</f>
      </c>
      <c r="CU10" s="0" t="s">
        <v>757</v>
      </c>
      <c r="CV10" s="11" t="n">
        <v>45447</v>
      </c>
      <c r="CW10" s="6" t="s">
        <f>=1067.75</f>
      </c>
      <c r="CX10" s="0" t="s">
        <v>757</v>
      </c>
      <c r="CY10" s="11" t="n">
        <v>45184</v>
      </c>
      <c r="CZ10" s="6" t="s">
        <f>=720.42</f>
      </c>
      <c r="DA10" s="0" t="s">
        <v>757</v>
      </c>
      <c r="DB10" s="11" t="n">
        <v>45267</v>
      </c>
      <c r="DC10" s="6" t="s">
        <f>=1458.68</f>
      </c>
      <c r="DD10" s="0" t="s">
        <v>757</v>
      </c>
      <c r="DE10" s="11" t="n">
        <v>45447</v>
      </c>
      <c r="DF10" s="6" t="s">
        <f>=743.88</f>
      </c>
      <c r="DG10" s="0" t="s">
        <v>757</v>
      </c>
      <c r="DH10" s="11" t="n">
        <v>45189</v>
      </c>
      <c r="DI10" s="6" t="s">
        <f>=-205.94</f>
      </c>
      <c r="DJ10" s="0" t="s">
        <v>442</v>
      </c>
      <c r="DK10" s="11" t="n">
        <v>45506</v>
      </c>
      <c r="DL10" s="6" t="s">
        <f>=709.44</f>
      </c>
      <c r="DM10" s="0" t="s">
        <v>757</v>
      </c>
      <c r="DN10" s="11" t="n">
        <v>45566</v>
      </c>
      <c r="DO10" s="6" t="s">
        <f>=732.37</f>
      </c>
      <c r="DP10" s="0" t="s">
        <v>757</v>
      </c>
      <c r="DQ10" s="11" t="n">
        <v>45566</v>
      </c>
      <c r="DR10" s="6" t="s">
        <f>=681.79</f>
      </c>
      <c r="DS10" s="0" t="s">
        <v>757</v>
      </c>
      <c r="DT10" s="11" t="n">
        <v>45776</v>
      </c>
      <c r="DU10" s="6" t="s">
        <f>=868.78</f>
      </c>
      <c r="DV10" s="0" t="s">
        <v>757</v>
      </c>
      <c r="DW10" s="11" t="n">
        <v>45506</v>
      </c>
      <c r="DX10" s="6" t="s">
        <f>=687.35</f>
      </c>
      <c r="DY10" s="0" t="s">
        <v>757</v>
      </c>
      <c r="DZ10" s="11" t="n">
        <v>45252</v>
      </c>
      <c r="EA10" s="6" t="s">
        <f>=-216.9</f>
      </c>
      <c r="EB10" s="0" t="s">
        <v>465</v>
      </c>
      <c r="EC10" s="11" t="n">
        <v>45742</v>
      </c>
      <c r="ED10" s="6" t="s">
        <f>=-392.7</f>
      </c>
      <c r="EE10" s="0" t="s">
        <v>600</v>
      </c>
      <c r="EF10" s="11" t="n">
        <v>45574</v>
      </c>
      <c r="EG10" s="6" t="s">
        <f>=-411.1</f>
      </c>
      <c r="EH10" s="0" t="s">
        <v>609</v>
      </c>
      <c r="EI10" s="0"/>
      <c r="EJ10" s="10" t="s">
        <f>=XIRR(EJ2:EJ9,EI2:EI9)</f>
      </c>
      <c r="EK10" s="0"/>
      <c r="EL10" s="11" t="n">
        <v>45931</v>
      </c>
      <c r="EM10" s="8" t="s">
        <f>=-Портфель!J50</f>
      </c>
      <c r="EN10" s="0" t="s">
        <v>758</v>
      </c>
      <c r="EO10" s="11" t="n">
        <v>45798</v>
      </c>
      <c r="EP10" s="6" t="s">
        <f>=-89.94</f>
      </c>
      <c r="EQ10" s="0" t="s">
        <v>741</v>
      </c>
      <c r="ER10" s="11" t="n">
        <v>45742</v>
      </c>
      <c r="ES10" s="6" t="s">
        <f>=-68.52</f>
      </c>
      <c r="ET10" s="0" t="s">
        <v>695</v>
      </c>
      <c r="EU10" s="0"/>
      <c r="EV10" s="0"/>
      <c r="EW10" s="0"/>
      <c r="EX10" s="0"/>
      <c r="EY10" s="8" t="s">
        <f>=-SUM(EY2:EY8)</f>
      </c>
      <c r="EZ10" s="0" t="s">
        <v>759</v>
      </c>
      <c r="FA10" s="0"/>
      <c r="FB10" s="8" t="s">
        <f>=-SUM(FB2:FB8)</f>
      </c>
      <c r="FC10" s="0" t="s">
        <v>759</v>
      </c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11" t="n">
        <v>45682</v>
      </c>
      <c r="FT10" s="6" t="s">
        <f>=-36.32</f>
      </c>
      <c r="FU10" s="0" t="s">
        <v>655</v>
      </c>
      <c r="FV10" s="11" t="n">
        <v>45375</v>
      </c>
      <c r="FW10" s="6" t="s">
        <f>=-29.5</f>
      </c>
      <c r="FX10" s="0" t="s">
        <v>507</v>
      </c>
      <c r="FY10" s="0"/>
      <c r="FZ10" s="8" t="s">
        <f>=-SUM(FZ2:FZ8)</f>
      </c>
      <c r="GA10" s="0" t="s">
        <v>759</v>
      </c>
      <c r="GB10" s="0"/>
      <c r="GC10" s="8" t="s">
        <f>=-SUM(GC2:GC8)</f>
      </c>
      <c r="GD10" s="0" t="s">
        <v>759</v>
      </c>
      <c r="GE10" s="0"/>
      <c r="GF10" s="8" t="s">
        <f>=-SUM(GF2:GF8)</f>
      </c>
      <c r="GG10" s="0" t="s">
        <v>759</v>
      </c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8" t="s">
        <f>=-SUM(HA2:HA8)</f>
      </c>
      <c r="HB10" s="0" t="s">
        <v>759</v>
      </c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8" t="s">
        <f>=-SUM(HM2:HM8)</f>
      </c>
      <c r="HN10" s="0" t="s">
        <v>759</v>
      </c>
      <c r="HO10" s="0"/>
      <c r="HP10" s="0"/>
      <c r="HQ10" s="0"/>
      <c r="HR10" s="0"/>
      <c r="HS10" s="0"/>
      <c r="HT10" s="0"/>
      <c r="HU10" s="11" t="n">
        <v>45589</v>
      </c>
      <c r="HV10" s="6" t="s">
        <f>=-16.6</f>
      </c>
      <c r="HW10" s="0" t="s">
        <v>618</v>
      </c>
      <c r="HX10" s="11" t="n">
        <v>45810</v>
      </c>
      <c r="HY10" s="8" t="s">
        <f>=-Портфель!J80</f>
      </c>
      <c r="HZ10" s="0" t="s">
        <v>758</v>
      </c>
      <c r="IA10" s="0"/>
      <c r="IB10" s="0"/>
      <c r="IC10" s="0"/>
      <c r="ID10" s="0"/>
      <c r="IE10" s="0"/>
      <c r="IF10" s="0"/>
      <c r="IG10" s="11" t="n">
        <v>45810</v>
      </c>
      <c r="IH10" s="8" t="s">
        <f>=-Портфель!J83</f>
      </c>
      <c r="II10" s="0" t="s">
        <v>758</v>
      </c>
      <c r="IJ10" s="0"/>
      <c r="IK10" s="0"/>
      <c r="IL10" s="0"/>
      <c r="IM10" s="0"/>
      <c r="IN10" s="8" t="s">
        <f>=-SUM(IN2:IN8)</f>
      </c>
      <c r="IO10" s="0" t="s">
        <v>759</v>
      </c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11" t="n">
        <v>45534</v>
      </c>
      <c r="JL10" s="6" t="s">
        <f>=-24.81</f>
      </c>
      <c r="JM10" s="0" t="s">
        <v>365</v>
      </c>
      <c r="JN10" s="0"/>
      <c r="JO10" s="8" t="s">
        <f>=-SUM(JO2:JO8)</f>
      </c>
      <c r="JP10" s="0" t="s">
        <v>759</v>
      </c>
      <c r="JQ10" s="0"/>
      <c r="JR10" s="0"/>
      <c r="JS10" s="0"/>
      <c r="JT10" s="11" t="n">
        <v>45770</v>
      </c>
      <c r="JU10" s="6" t="s">
        <f>=-11.18</f>
      </c>
      <c r="JV10" s="0" t="s">
        <v>598</v>
      </c>
      <c r="JW10" s="0"/>
      <c r="JX10" s="10" t="s">
        <f>=XIRR(JX2:JX9,JW2:JW9)</f>
      </c>
      <c r="JY10" s="0"/>
      <c r="JZ10" s="11" t="n">
        <v>45594</v>
      </c>
      <c r="KA10" s="6" t="s">
        <f>=-28.22</f>
      </c>
      <c r="KB10" s="0" t="s">
        <v>373</v>
      </c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11" t="n">
        <v>45539</v>
      </c>
      <c r="KP10" s="6" t="s">
        <f>=-19.87</f>
      </c>
      <c r="KQ10" s="0" t="s">
        <v>367</v>
      </c>
      <c r="KR10" s="11" t="n">
        <v>45769</v>
      </c>
      <c r="KS10" s="6" t="s">
        <f>=-28.62</f>
      </c>
      <c r="KT10" s="0" t="s">
        <v>715</v>
      </c>
      <c r="KU10" s="11" t="n">
        <v>45617</v>
      </c>
      <c r="KV10" s="6" t="s">
        <f>=-8.66</f>
      </c>
      <c r="KW10" s="0" t="s">
        <v>535</v>
      </c>
      <c r="KX10" s="0"/>
      <c r="KY10" s="8" t="s">
        <f>=-SUM(KY2:KY8)</f>
      </c>
      <c r="KZ10" s="0" t="s">
        <v>759</v>
      </c>
      <c r="LA10" s="11" t="n">
        <v>45631</v>
      </c>
      <c r="LB10" s="6" t="s">
        <f>=-9.8</f>
      </c>
      <c r="LC10" s="0" t="s">
        <v>645</v>
      </c>
      <c r="LD10" s="11" t="n">
        <v>45204</v>
      </c>
      <c r="LE10" s="6" t="s">
        <f>=-13.96</f>
      </c>
      <c r="LF10" s="0" t="s">
        <v>450</v>
      </c>
    </row>
    <row collapsed="false" customFormat="false" customHeight="false" hidden="false" ht="12.1" outlineLevel="0" r="11">
      <c r="A11" s="11" t="n">
        <v>45267</v>
      </c>
      <c r="B11" s="6" t="n">
        <v>2687.84</v>
      </c>
      <c r="C11" s="0" t="s">
        <v>757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759</v>
      </c>
      <c r="P11" s="11" t="n">
        <v>45639</v>
      </c>
      <c r="Q11" s="6" t="n">
        <v>3377.9</v>
      </c>
      <c r="R11" s="0" t="s">
        <v>757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45446</v>
      </c>
      <c r="AC11" s="6" t="n">
        <v>-325.999263608</v>
      </c>
      <c r="AD11" s="0" t="s">
        <v>539</v>
      </c>
      <c r="AE11" s="11" t="n">
        <v>45810</v>
      </c>
      <c r="AF11" s="8" t="s">
        <f>=-Портфель!J12</f>
      </c>
      <c r="AG11" s="0" t="s">
        <v>758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8" t="s">
        <f>=-SUM(AU2:AU9)</f>
      </c>
      <c r="AV11" s="0" t="s">
        <v>759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759</v>
      </c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s">
        <f>=-304.2</f>
      </c>
      <c r="CO11" s="0" t="s">
        <v>430</v>
      </c>
      <c r="CP11" s="11" t="n">
        <v>45462</v>
      </c>
      <c r="CQ11" s="6" t="s">
        <f>=-460.39</f>
      </c>
      <c r="CR11" s="0" t="s">
        <v>549</v>
      </c>
      <c r="CS11" s="11" t="n">
        <v>45184</v>
      </c>
      <c r="CT11" s="6" t="s">
        <f>=702.08</f>
      </c>
      <c r="CU11" s="0" t="s">
        <v>757</v>
      </c>
      <c r="CV11" s="11" t="n">
        <v>45506</v>
      </c>
      <c r="CW11" s="6" t="s">
        <f>=1098.65</f>
      </c>
      <c r="CX11" s="0" t="s">
        <v>757</v>
      </c>
      <c r="CY11" s="11" t="n">
        <v>45184</v>
      </c>
      <c r="CZ11" s="6" t="s">
        <f>=720.42</f>
      </c>
      <c r="DA11" s="0" t="s">
        <v>757</v>
      </c>
      <c r="DB11" s="11" t="n">
        <v>45303</v>
      </c>
      <c r="DC11" s="6" t="s">
        <f>=1461.64</f>
      </c>
      <c r="DD11" s="0" t="s">
        <v>757</v>
      </c>
      <c r="DE11" s="11" t="n">
        <v>45506</v>
      </c>
      <c r="DF11" s="6" t="s">
        <f>=736.18</f>
      </c>
      <c r="DG11" s="0" t="s">
        <v>757</v>
      </c>
      <c r="DH11" s="11" t="n">
        <v>45267</v>
      </c>
      <c r="DI11" s="6" t="s">
        <f>=737.64</f>
      </c>
      <c r="DJ11" s="0" t="s">
        <v>757</v>
      </c>
      <c r="DK11" s="11" t="n">
        <v>45630</v>
      </c>
      <c r="DL11" s="6" t="s">
        <f>=-488.7</f>
      </c>
      <c r="DM11" s="0" t="s">
        <v>640</v>
      </c>
      <c r="DN11" s="11" t="n">
        <v>45623</v>
      </c>
      <c r="DO11" s="6" t="s">
        <f>=-426.33</f>
      </c>
      <c r="DP11" s="0" t="s">
        <v>633</v>
      </c>
      <c r="DQ11" s="11" t="n">
        <v>45702</v>
      </c>
      <c r="DR11" s="6" t="s">
        <f>=765.95</f>
      </c>
      <c r="DS11" s="0" t="s">
        <v>757</v>
      </c>
      <c r="DT11" s="11" t="n">
        <v>45931</v>
      </c>
      <c r="DU11" s="8" t="s">
        <f>=-Портфель!J44</f>
      </c>
      <c r="DV11" s="0" t="s">
        <v>758</v>
      </c>
      <c r="DW11" s="11" t="n">
        <v>45566</v>
      </c>
      <c r="DX11" s="6" t="s">
        <f>=625.06</f>
      </c>
      <c r="DY11" s="0" t="s">
        <v>757</v>
      </c>
      <c r="DZ11" s="11" t="n">
        <v>45356</v>
      </c>
      <c r="EA11" s="6" t="s">
        <f>=739.35</f>
      </c>
      <c r="EB11" s="0" t="s">
        <v>757</v>
      </c>
      <c r="EC11" s="11" t="n">
        <v>45810</v>
      </c>
      <c r="ED11" s="8" t="s">
        <f>=-Портфель!J47</f>
      </c>
      <c r="EE11" s="0" t="s">
        <v>758</v>
      </c>
      <c r="EF11" s="11" t="n">
        <v>45756</v>
      </c>
      <c r="EG11" s="6" t="s">
        <f>=-450.75</f>
      </c>
      <c r="EH11" s="0" t="s">
        <v>706</v>
      </c>
      <c r="EI11" s="0"/>
      <c r="EJ11" s="8" t="s">
        <f>=-SUM(EJ2:EJ9)</f>
      </c>
      <c r="EK11" s="0" t="s">
        <v>759</v>
      </c>
      <c r="EL11" s="0"/>
      <c r="EM11" s="10" t="s">
        <f>=XIRR(EM2:EM10,EL2:EL10)</f>
      </c>
      <c r="EN11" s="0"/>
      <c r="EO11" s="11" t="n">
        <v>45810</v>
      </c>
      <c r="EP11" s="8" t="s">
        <f>=-Портфель!J51</f>
      </c>
      <c r="EQ11" s="0" t="s">
        <v>758</v>
      </c>
      <c r="ER11" s="11" t="n">
        <v>45810</v>
      </c>
      <c r="ES11" s="8" t="s">
        <f>=-Портфель!J52</f>
      </c>
      <c r="ET11" s="0" t="s">
        <v>758</v>
      </c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11" t="n">
        <v>45712</v>
      </c>
      <c r="FT11" s="6" t="s">
        <f>=-36.32</f>
      </c>
      <c r="FU11" s="0" t="s">
        <v>655</v>
      </c>
      <c r="FV11" s="11" t="n">
        <v>45406</v>
      </c>
      <c r="FW11" s="6" t="s">
        <f>=-29.18</f>
      </c>
      <c r="FX11" s="0" t="s">
        <v>524</v>
      </c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11" t="n">
        <v>45620</v>
      </c>
      <c r="HV11" s="6" t="s">
        <f>=-16.79</f>
      </c>
      <c r="HW11" s="0" t="s">
        <v>630</v>
      </c>
      <c r="HX11" s="0"/>
      <c r="HY11" s="10" t="s">
        <f>=XIRR(HY2:HY10,HX2:HX10)</f>
      </c>
      <c r="HZ11" s="0"/>
      <c r="IA11" s="0"/>
      <c r="IB11" s="0"/>
      <c r="IC11" s="0"/>
      <c r="ID11" s="0"/>
      <c r="IE11" s="0"/>
      <c r="IF11" s="0"/>
      <c r="IG11" s="0"/>
      <c r="IH11" s="10" t="s">
        <f>=XIRR(IH2:IH10,IG2:IG10)</f>
      </c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11" t="n">
        <v>45625</v>
      </c>
      <c r="JL11" s="6" t="s">
        <f>=-24.81</f>
      </c>
      <c r="JM11" s="0" t="s">
        <v>365</v>
      </c>
      <c r="JN11" s="0"/>
      <c r="JO11" s="0"/>
      <c r="JP11" s="0"/>
      <c r="JQ11" s="0"/>
      <c r="JR11" s="0"/>
      <c r="JS11" s="0"/>
      <c r="JT11" s="11" t="n">
        <v>45800</v>
      </c>
      <c r="JU11" s="6" t="s">
        <f>=-11.18</f>
      </c>
      <c r="JV11" s="0" t="s">
        <v>598</v>
      </c>
      <c r="JW11" s="0"/>
      <c r="JX11" s="8" t="s">
        <f>=-SUM(JX2:JX9)</f>
      </c>
      <c r="JY11" s="0" t="s">
        <v>759</v>
      </c>
      <c r="JZ11" s="11" t="n">
        <v>45685</v>
      </c>
      <c r="KA11" s="6" t="s">
        <f>=-28.22</f>
      </c>
      <c r="KB11" s="0" t="s">
        <v>373</v>
      </c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11" t="n">
        <v>45630</v>
      </c>
      <c r="KP11" s="6" t="s">
        <f>=-19.87</f>
      </c>
      <c r="KQ11" s="0" t="s">
        <v>367</v>
      </c>
      <c r="KR11" s="11" t="n">
        <v>45810</v>
      </c>
      <c r="KS11" s="8" t="s">
        <f>=-Портфель!J104</f>
      </c>
      <c r="KT11" s="0" t="s">
        <v>758</v>
      </c>
      <c r="KU11" s="11" t="n">
        <v>45707</v>
      </c>
      <c r="KV11" s="6" t="s">
        <f>=-125</f>
      </c>
      <c r="KW11" s="0" t="s">
        <v>496</v>
      </c>
      <c r="KX11" s="0"/>
      <c r="KY11" s="0"/>
      <c r="KZ11" s="0"/>
      <c r="LA11" s="11" t="n">
        <v>45721</v>
      </c>
      <c r="LB11" s="6" t="s">
        <f>=-67</f>
      </c>
      <c r="LC11" s="0" t="s">
        <v>499</v>
      </c>
      <c r="LD11" s="11" t="n">
        <v>45295</v>
      </c>
      <c r="LE11" s="6" t="s">
        <f>=-13.96</f>
      </c>
      <c r="LF11" s="0" t="s">
        <v>450</v>
      </c>
    </row>
    <row collapsed="false" customFormat="false" customHeight="false" hidden="false" ht="12.1" outlineLevel="0" r="12">
      <c r="A12" s="11" t="n">
        <v>45324</v>
      </c>
      <c r="B12" s="6" t="n">
        <v>2776.6</v>
      </c>
      <c r="C12" s="0" t="s">
        <v>757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45639</v>
      </c>
      <c r="Q12" s="6" t="n">
        <v>563.79</v>
      </c>
      <c r="R12" s="0" t="s">
        <v>757</v>
      </c>
      <c r="S12" s="0"/>
      <c r="T12" s="0"/>
      <c r="U12" s="0"/>
      <c r="V12" s="0"/>
      <c r="W12" s="0"/>
      <c r="X12" s="0"/>
      <c r="Y12" s="0"/>
      <c r="Z12" s="0"/>
      <c r="AA12" s="0"/>
      <c r="AB12" s="11" t="n">
        <v>45506</v>
      </c>
      <c r="AC12" s="6" t="n">
        <v>380.24</v>
      </c>
      <c r="AD12" s="0" t="s">
        <v>757</v>
      </c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s">
        <f>=1381.18</f>
      </c>
      <c r="CO12" s="0" t="s">
        <v>757</v>
      </c>
      <c r="CP12" s="11" t="n">
        <v>45506</v>
      </c>
      <c r="CQ12" s="6" t="s">
        <f>=1079.95</f>
      </c>
      <c r="CR12" s="0" t="s">
        <v>757</v>
      </c>
      <c r="CS12" s="11" t="n">
        <v>45240</v>
      </c>
      <c r="CT12" s="6" t="s">
        <f>=711.84</f>
      </c>
      <c r="CU12" s="0" t="s">
        <v>757</v>
      </c>
      <c r="CV12" s="11" t="n">
        <v>45566</v>
      </c>
      <c r="CW12" s="6" t="s">
        <f>=1101.95</f>
      </c>
      <c r="CX12" s="0" t="s">
        <v>757</v>
      </c>
      <c r="CY12" s="11" t="n">
        <v>45303</v>
      </c>
      <c r="CZ12" s="6" t="s">
        <f>=1428.38</f>
      </c>
      <c r="DA12" s="0" t="s">
        <v>757</v>
      </c>
      <c r="DB12" s="11" t="n">
        <v>45351</v>
      </c>
      <c r="DC12" s="6" t="s">
        <f>=730.51</f>
      </c>
      <c r="DD12" s="0" t="s">
        <v>757</v>
      </c>
      <c r="DE12" s="11" t="n">
        <v>45566</v>
      </c>
      <c r="DF12" s="6" t="s">
        <f>=716.79</f>
      </c>
      <c r="DG12" s="0" t="s">
        <v>757</v>
      </c>
      <c r="DH12" s="11" t="n">
        <v>45371</v>
      </c>
      <c r="DI12" s="6" t="s">
        <f>=-235.36</f>
      </c>
      <c r="DJ12" s="0" t="s">
        <v>504</v>
      </c>
      <c r="DK12" s="11" t="n">
        <v>45714</v>
      </c>
      <c r="DL12" s="6" t="s">
        <f>=720.16</f>
      </c>
      <c r="DM12" s="0" t="s">
        <v>757</v>
      </c>
      <c r="DN12" s="11" t="n">
        <v>45702</v>
      </c>
      <c r="DO12" s="6" t="s">
        <f>=778.45</f>
      </c>
      <c r="DP12" s="0" t="s">
        <v>757</v>
      </c>
      <c r="DQ12" s="11" t="n">
        <v>45702</v>
      </c>
      <c r="DR12" s="6" t="s">
        <f>=767.24</f>
      </c>
      <c r="DS12" s="0" t="s">
        <v>757</v>
      </c>
      <c r="DT12" s="0"/>
      <c r="DU12" s="10" t="s">
        <f>=XIRR(DU2:DU11,DT2:DT11)</f>
      </c>
      <c r="DV12" s="0"/>
      <c r="DW12" s="11" t="n">
        <v>45567</v>
      </c>
      <c r="DX12" s="6" t="s">
        <f>=-230.34</f>
      </c>
      <c r="DY12" s="0" t="s">
        <v>605</v>
      </c>
      <c r="DZ12" s="11" t="n">
        <v>45387</v>
      </c>
      <c r="EA12" s="6" t="s">
        <f>=707.93</f>
      </c>
      <c r="EB12" s="0" t="s">
        <v>757</v>
      </c>
      <c r="EC12" s="0"/>
      <c r="ED12" s="10" t="s">
        <f>=XIRR(ED2:ED11,EC2:EC11)</f>
      </c>
      <c r="EE12" s="0"/>
      <c r="EF12" s="11" t="n">
        <v>45810</v>
      </c>
      <c r="EG12" s="8" t="s">
        <f>=-Портфель!J48</f>
      </c>
      <c r="EH12" s="0" t="s">
        <v>758</v>
      </c>
      <c r="EI12" s="0"/>
      <c r="EJ12" s="0"/>
      <c r="EK12" s="0"/>
      <c r="EL12" s="0"/>
      <c r="EM12" s="8" t="s">
        <f>=-SUM(EM2:EM10)</f>
      </c>
      <c r="EN12" s="0" t="s">
        <v>759</v>
      </c>
      <c r="EO12" s="0"/>
      <c r="EP12" s="10" t="s">
        <f>=XIRR(EP2:EP11,EO2:EO11)</f>
      </c>
      <c r="EQ12" s="0"/>
      <c r="ER12" s="0"/>
      <c r="ES12" s="10" t="s">
        <f>=XIRR(ES2:ES11,ER2:ER11)</f>
      </c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45742</v>
      </c>
      <c r="FT12" s="6" t="s">
        <f>=-36.32</f>
      </c>
      <c r="FU12" s="0" t="s">
        <v>655</v>
      </c>
      <c r="FV12" s="11" t="n">
        <v>45437</v>
      </c>
      <c r="FW12" s="6" t="s">
        <f>=-29.14</f>
      </c>
      <c r="FX12" s="0" t="s">
        <v>536</v>
      </c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45651</v>
      </c>
      <c r="HV12" s="6" t="s">
        <f>=-18.06</f>
      </c>
      <c r="HW12" s="0" t="s">
        <v>654</v>
      </c>
      <c r="HX12" s="0"/>
      <c r="HY12" s="8" t="s">
        <f>=-SUM(HY2:HY10)</f>
      </c>
      <c r="HZ12" s="0" t="s">
        <v>759</v>
      </c>
      <c r="IA12" s="0"/>
      <c r="IB12" s="0"/>
      <c r="IC12" s="0"/>
      <c r="ID12" s="0"/>
      <c r="IE12" s="0"/>
      <c r="IF12" s="0"/>
      <c r="IG12" s="0"/>
      <c r="IH12" s="8" t="s">
        <f>=-SUM(IH2:IH10)</f>
      </c>
      <c r="II12" s="0" t="s">
        <v>759</v>
      </c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11" t="n">
        <v>45716</v>
      </c>
      <c r="JL12" s="6" t="s">
        <f>=-24.81</f>
      </c>
      <c r="JM12" s="0" t="s">
        <v>365</v>
      </c>
      <c r="JN12" s="0"/>
      <c r="JO12" s="0"/>
      <c r="JP12" s="0"/>
      <c r="JQ12" s="0"/>
      <c r="JR12" s="0"/>
      <c r="JS12" s="0"/>
      <c r="JT12" s="11" t="n">
        <v>45906</v>
      </c>
      <c r="JU12" s="8" t="s">
        <f>=-Портфель!J96</f>
      </c>
      <c r="JV12" s="0" t="s">
        <v>758</v>
      </c>
      <c r="JW12" s="0"/>
      <c r="JX12" s="0"/>
      <c r="JY12" s="0"/>
      <c r="JZ12" s="11" t="n">
        <v>45776</v>
      </c>
      <c r="KA12" s="6" t="s">
        <f>=-28.22</f>
      </c>
      <c r="KB12" s="0" t="s">
        <v>373</v>
      </c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11" t="n">
        <v>45721</v>
      </c>
      <c r="KP12" s="6" t="s">
        <f>=-19.87</f>
      </c>
      <c r="KQ12" s="0" t="s">
        <v>367</v>
      </c>
      <c r="KR12" s="0"/>
      <c r="KS12" s="10" t="s">
        <f>=XIRR(KS2:KS11,KR2:KR11)</f>
      </c>
      <c r="KT12" s="0"/>
      <c r="KU12" s="11" t="n">
        <v>45708</v>
      </c>
      <c r="KV12" s="6" t="s">
        <f>=-8.66</f>
      </c>
      <c r="KW12" s="0" t="s">
        <v>535</v>
      </c>
      <c r="KX12" s="0"/>
      <c r="KY12" s="0"/>
      <c r="KZ12" s="0"/>
      <c r="LA12" s="11" t="n">
        <v>45722</v>
      </c>
      <c r="LB12" s="6" t="s">
        <f>=-8.15</f>
      </c>
      <c r="LC12" s="0" t="s">
        <v>686</v>
      </c>
      <c r="LD12" s="11" t="n">
        <v>45386</v>
      </c>
      <c r="LE12" s="6" t="s">
        <f>=-13.96</f>
      </c>
      <c r="LF12" s="0" t="s">
        <v>450</v>
      </c>
    </row>
    <row collapsed="false" customFormat="false" customHeight="false" hidden="false" ht="12.1" outlineLevel="0" r="13">
      <c r="A13" s="11" t="n">
        <v>45324</v>
      </c>
      <c r="B13" s="6" t="n">
        <v>2773.8</v>
      </c>
      <c r="C13" s="0" t="s">
        <v>757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45665</v>
      </c>
      <c r="Q13" s="6" t="n">
        <v>-156.51</v>
      </c>
      <c r="R13" s="0" t="s">
        <v>659</v>
      </c>
      <c r="S13" s="0"/>
      <c r="T13" s="0"/>
      <c r="U13" s="0"/>
      <c r="V13" s="0"/>
      <c r="W13" s="0"/>
      <c r="X13" s="0"/>
      <c r="Y13" s="0"/>
      <c r="Z13" s="0"/>
      <c r="AA13" s="0"/>
      <c r="AB13" s="11" t="n">
        <v>45541</v>
      </c>
      <c r="AC13" s="6" t="n">
        <v>363.99</v>
      </c>
      <c r="AD13" s="0" t="s">
        <v>757</v>
      </c>
      <c r="AE13" s="0"/>
      <c r="AF13" s="8" t="s">
        <f>=-SUM(AF2:AF11)</f>
      </c>
      <c r="AG13" s="0" t="s">
        <v>759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s">
        <f>=676.34</f>
      </c>
      <c r="CO13" s="0" t="s">
        <v>757</v>
      </c>
      <c r="CP13" s="11" t="n">
        <v>45566</v>
      </c>
      <c r="CQ13" s="6" t="s">
        <f>=1097.76</f>
      </c>
      <c r="CR13" s="0" t="s">
        <v>757</v>
      </c>
      <c r="CS13" s="11" t="n">
        <v>45266</v>
      </c>
      <c r="CT13" s="6" t="s">
        <f>=-389.4</f>
      </c>
      <c r="CU13" s="0" t="s">
        <v>470</v>
      </c>
      <c r="CV13" s="11" t="n">
        <v>45609</v>
      </c>
      <c r="CW13" s="6" t="s">
        <f>=-594.79</f>
      </c>
      <c r="CX13" s="0" t="s">
        <v>626</v>
      </c>
      <c r="CY13" s="11" t="n">
        <v>45336</v>
      </c>
      <c r="CZ13" s="6" t="s">
        <f>=-418.8</f>
      </c>
      <c r="DA13" s="0" t="s">
        <v>494</v>
      </c>
      <c r="DB13" s="11" t="n">
        <v>45351</v>
      </c>
      <c r="DC13" s="6" t="s">
        <f>=730.47</f>
      </c>
      <c r="DD13" s="0" t="s">
        <v>757</v>
      </c>
      <c r="DE13" s="11" t="n">
        <v>45566</v>
      </c>
      <c r="DF13" s="6" t="s">
        <f>=717.66</f>
      </c>
      <c r="DG13" s="0" t="s">
        <v>757</v>
      </c>
      <c r="DH13" s="11" t="n">
        <v>45387</v>
      </c>
      <c r="DI13" s="6" t="s">
        <f>=687.54</f>
      </c>
      <c r="DJ13" s="0" t="s">
        <v>757</v>
      </c>
      <c r="DK13" s="11" t="n">
        <v>45776</v>
      </c>
      <c r="DL13" s="6" t="s">
        <f>=732.56</f>
      </c>
      <c r="DM13" s="0" t="s">
        <v>757</v>
      </c>
      <c r="DN13" s="11" t="n">
        <v>45805</v>
      </c>
      <c r="DO13" s="6" t="s">
        <f>=-473.7</f>
      </c>
      <c r="DP13" s="0" t="s">
        <v>746</v>
      </c>
      <c r="DQ13" s="11" t="n">
        <v>45714</v>
      </c>
      <c r="DR13" s="6" t="s">
        <f>=760.91</f>
      </c>
      <c r="DS13" s="0" t="s">
        <v>757</v>
      </c>
      <c r="DT13" s="0"/>
      <c r="DU13" s="8" t="s">
        <f>=-SUM(DU2:DU11)</f>
      </c>
      <c r="DV13" s="0" t="s">
        <v>759</v>
      </c>
      <c r="DW13" s="11" t="n">
        <v>45702</v>
      </c>
      <c r="DX13" s="6" t="s">
        <f>=693.52</f>
      </c>
      <c r="DY13" s="0" t="s">
        <v>757</v>
      </c>
      <c r="DZ13" s="11" t="n">
        <v>45387</v>
      </c>
      <c r="EA13" s="6" t="s">
        <f>=707.93</f>
      </c>
      <c r="EB13" s="0" t="s">
        <v>757</v>
      </c>
      <c r="EC13" s="0"/>
      <c r="ED13" s="8" t="s">
        <f>=-SUM(ED2:ED11)</f>
      </c>
      <c r="EE13" s="0" t="s">
        <v>759</v>
      </c>
      <c r="EF13" s="0"/>
      <c r="EG13" s="10" t="s">
        <f>=XIRR(EG2:EG12,EF2:EF12)</f>
      </c>
      <c r="EH13" s="0"/>
      <c r="EI13" s="0"/>
      <c r="EJ13" s="0"/>
      <c r="EK13" s="0"/>
      <c r="EL13" s="0"/>
      <c r="EM13" s="0"/>
      <c r="EN13" s="0"/>
      <c r="EO13" s="0"/>
      <c r="EP13" s="8" t="s">
        <f>=-SUM(EP2:EP11)</f>
      </c>
      <c r="EQ13" s="0" t="s">
        <v>759</v>
      </c>
      <c r="ER13" s="0"/>
      <c r="ES13" s="8" t="s">
        <f>=-SUM(ES2:ES11)</f>
      </c>
      <c r="ET13" s="0" t="s">
        <v>759</v>
      </c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45772</v>
      </c>
      <c r="FT13" s="6" t="s">
        <f>=-36.32</f>
      </c>
      <c r="FU13" s="0" t="s">
        <v>655</v>
      </c>
      <c r="FV13" s="11" t="n">
        <v>45468</v>
      </c>
      <c r="FW13" s="6" t="s">
        <f>=-29.52</f>
      </c>
      <c r="FX13" s="0" t="s">
        <v>552</v>
      </c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45682</v>
      </c>
      <c r="HV13" s="6" t="s">
        <f>=-18.98</f>
      </c>
      <c r="HW13" s="0" t="s">
        <v>666</v>
      </c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11" t="n">
        <v>45807</v>
      </c>
      <c r="JL13" s="6" t="s">
        <f>=-24.81</f>
      </c>
      <c r="JM13" s="0" t="s">
        <v>365</v>
      </c>
      <c r="JN13" s="0"/>
      <c r="JO13" s="0"/>
      <c r="JP13" s="0"/>
      <c r="JQ13" s="0"/>
      <c r="JR13" s="0"/>
      <c r="JS13" s="0"/>
      <c r="JT13" s="0"/>
      <c r="JU13" s="10" t="s">
        <f>=XIRR(JU2:JU12,JT2:JT12)</f>
      </c>
      <c r="JV13" s="0"/>
      <c r="JW13" s="0"/>
      <c r="JX13" s="0"/>
      <c r="JY13" s="0"/>
      <c r="JZ13" s="11" t="n">
        <v>45810</v>
      </c>
      <c r="KA13" s="8" t="s">
        <f>=-Портфель!J98</f>
      </c>
      <c r="KB13" s="0" t="s">
        <v>758</v>
      </c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11" t="n">
        <v>45810</v>
      </c>
      <c r="KP13" s="8" t="s">
        <f>=-Портфель!J103</f>
      </c>
      <c r="KQ13" s="0" t="s">
        <v>758</v>
      </c>
      <c r="KR13" s="0"/>
      <c r="KS13" s="8" t="s">
        <f>=-SUM(KS2:KS11)</f>
      </c>
      <c r="KT13" s="0" t="s">
        <v>759</v>
      </c>
      <c r="KU13" s="11" t="n">
        <v>45799</v>
      </c>
      <c r="KV13" s="6" t="s">
        <f>=-6.5</f>
      </c>
      <c r="KW13" s="0" t="s">
        <v>742</v>
      </c>
      <c r="KX13" s="0"/>
      <c r="KY13" s="0"/>
      <c r="KZ13" s="0"/>
      <c r="LA13" s="11" t="n">
        <v>45810</v>
      </c>
      <c r="LB13" s="8" t="s">
        <f>=-Портфель!J107</f>
      </c>
      <c r="LC13" s="0" t="s">
        <v>758</v>
      </c>
      <c r="LD13" s="11" t="n">
        <v>45476</v>
      </c>
      <c r="LE13" s="6" t="s">
        <f>=-200</f>
      </c>
      <c r="LF13" s="0" t="s">
        <v>339</v>
      </c>
    </row>
    <row collapsed="false" customFormat="false" customHeight="false" hidden="false" ht="12.1" outlineLevel="0" r="14">
      <c r="A14" s="11" t="n">
        <v>45324</v>
      </c>
      <c r="B14" s="6" t="n">
        <v>2775</v>
      </c>
      <c r="C14" s="0" t="s">
        <v>757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45729</v>
      </c>
      <c r="Q14" s="6" t="n">
        <v>697.19</v>
      </c>
      <c r="R14" s="0" t="s">
        <v>757</v>
      </c>
      <c r="S14" s="0"/>
      <c r="T14" s="0"/>
      <c r="U14" s="0"/>
      <c r="V14" s="0"/>
      <c r="W14" s="0"/>
      <c r="X14" s="0"/>
      <c r="Y14" s="0"/>
      <c r="Z14" s="0"/>
      <c r="AA14" s="0"/>
      <c r="AB14" s="11" t="n">
        <v>45597</v>
      </c>
      <c r="AC14" s="6" t="n">
        <v>380.94</v>
      </c>
      <c r="AD14" s="0" t="s">
        <v>757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s">
        <f>=676.34</f>
      </c>
      <c r="CO14" s="0" t="s">
        <v>757</v>
      </c>
      <c r="CP14" s="11" t="n">
        <v>45566</v>
      </c>
      <c r="CQ14" s="6" t="s">
        <f>=1100.37</f>
      </c>
      <c r="CR14" s="0" t="s">
        <v>757</v>
      </c>
      <c r="CS14" s="11" t="n">
        <v>45267</v>
      </c>
      <c r="CT14" s="6" t="s">
        <f>=1318.1</f>
      </c>
      <c r="CU14" s="0" t="s">
        <v>757</v>
      </c>
      <c r="CV14" s="11" t="n">
        <v>45702</v>
      </c>
      <c r="CW14" s="6" t="s">
        <f>=1090.65</f>
      </c>
      <c r="CX14" s="0" t="s">
        <v>757</v>
      </c>
      <c r="CY14" s="11" t="n">
        <v>45351</v>
      </c>
      <c r="CZ14" s="6" t="s">
        <f>=680.1</f>
      </c>
      <c r="DA14" s="0" t="s">
        <v>757</v>
      </c>
      <c r="DB14" s="11" t="n">
        <v>45356</v>
      </c>
      <c r="DC14" s="6" t="s">
        <f>=725.98</f>
      </c>
      <c r="DD14" s="0" t="s">
        <v>757</v>
      </c>
      <c r="DE14" s="11" t="n">
        <v>45581</v>
      </c>
      <c r="DF14" s="6" t="s">
        <f>=-381.5</f>
      </c>
      <c r="DG14" s="0" t="s">
        <v>612</v>
      </c>
      <c r="DH14" s="11" t="n">
        <v>45387</v>
      </c>
      <c r="DI14" s="6" t="s">
        <f>=687.55</f>
      </c>
      <c r="DJ14" s="0" t="s">
        <v>757</v>
      </c>
      <c r="DK14" s="11" t="n">
        <v>45810</v>
      </c>
      <c r="DL14" s="8" t="s">
        <f>=-Портфель!J41</f>
      </c>
      <c r="DM14" s="0" t="s">
        <v>758</v>
      </c>
      <c r="DN14" s="11" t="n">
        <v>45810</v>
      </c>
      <c r="DO14" s="8" t="s">
        <f>=-Портфель!J42</f>
      </c>
      <c r="DP14" s="0" t="s">
        <v>758</v>
      </c>
      <c r="DQ14" s="11" t="n">
        <v>45742</v>
      </c>
      <c r="DR14" s="6" t="s">
        <f>=-423.8</f>
      </c>
      <c r="DS14" s="0" t="s">
        <v>694</v>
      </c>
      <c r="DT14" s="0"/>
      <c r="DU14" s="0"/>
      <c r="DV14" s="0"/>
      <c r="DW14" s="11" t="n">
        <v>45702</v>
      </c>
      <c r="DX14" s="6" t="s">
        <f>=695.04</f>
      </c>
      <c r="DY14" s="0" t="s">
        <v>757</v>
      </c>
      <c r="DZ14" s="11" t="n">
        <v>45434</v>
      </c>
      <c r="EA14" s="6" t="s">
        <f>=-325.35</f>
      </c>
      <c r="EB14" s="0" t="s">
        <v>534</v>
      </c>
      <c r="EC14" s="0"/>
      <c r="ED14" s="0"/>
      <c r="EE14" s="0"/>
      <c r="EF14" s="0"/>
      <c r="EG14" s="8" t="s">
        <f>=-SUM(EG2:EG12)</f>
      </c>
      <c r="EH14" s="0" t="s">
        <v>759</v>
      </c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11" t="n">
        <v>45802</v>
      </c>
      <c r="FT14" s="6" t="s">
        <f>=-36.32</f>
      </c>
      <c r="FU14" s="0" t="s">
        <v>655</v>
      </c>
      <c r="FV14" s="11" t="n">
        <v>45499</v>
      </c>
      <c r="FW14" s="6" t="s">
        <f>=-29.48</f>
      </c>
      <c r="FX14" s="0" t="s">
        <v>571</v>
      </c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45713</v>
      </c>
      <c r="HV14" s="6" t="s">
        <f>=-18.67</f>
      </c>
      <c r="HW14" s="0" t="s">
        <v>681</v>
      </c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11" t="n">
        <v>45810</v>
      </c>
      <c r="JL14" s="8" t="s">
        <f>=-Портфель!J93</f>
      </c>
      <c r="JM14" s="0" t="s">
        <v>758</v>
      </c>
      <c r="JN14" s="0"/>
      <c r="JO14" s="0"/>
      <c r="JP14" s="0"/>
      <c r="JQ14" s="0"/>
      <c r="JR14" s="0"/>
      <c r="JS14" s="0"/>
      <c r="JT14" s="0"/>
      <c r="JU14" s="8" t="s">
        <f>=-SUM(JU2:JU12)</f>
      </c>
      <c r="JV14" s="0" t="s">
        <v>759</v>
      </c>
      <c r="JW14" s="0"/>
      <c r="JX14" s="0"/>
      <c r="JY14" s="0"/>
      <c r="JZ14" s="0"/>
      <c r="KA14" s="10" t="s">
        <f>=XIRR(KA2:KA13,JZ2:JZ13)</f>
      </c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10" t="s">
        <f>=XIRR(KP2:KP13,KO2:KO13)</f>
      </c>
      <c r="KQ14" s="0"/>
      <c r="KR14" s="0"/>
      <c r="KS14" s="0"/>
      <c r="KT14" s="0"/>
      <c r="KU14" s="11" t="n">
        <v>45810</v>
      </c>
      <c r="KV14" s="8" t="s">
        <f>=-Портфель!J105</f>
      </c>
      <c r="KW14" s="0" t="s">
        <v>758</v>
      </c>
      <c r="KX14" s="0"/>
      <c r="KY14" s="0"/>
      <c r="KZ14" s="0"/>
      <c r="LA14" s="0"/>
      <c r="LB14" s="10" t="s">
        <f>=XIRR(LB2:LB13,LA2:LA13)</f>
      </c>
      <c r="LC14" s="0"/>
      <c r="LD14" s="11" t="n">
        <v>45477</v>
      </c>
      <c r="LE14" s="6" t="s">
        <f>=-13.96</f>
      </c>
      <c r="LF14" s="0" t="s">
        <v>450</v>
      </c>
    </row>
    <row collapsed="false" customFormat="false" customHeight="false" hidden="false" ht="12.1" outlineLevel="0" r="15">
      <c r="A15" s="11" t="n">
        <v>45418</v>
      </c>
      <c r="B15" s="6" t="n">
        <v>3082.42</v>
      </c>
      <c r="C15" s="0" t="s">
        <v>757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45810</v>
      </c>
      <c r="Q15" s="8" t="s">
        <f>=-Портфель!J7</f>
      </c>
      <c r="R15" s="0" t="s">
        <v>758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45639</v>
      </c>
      <c r="AC15" s="6" t="n">
        <v>359.48</v>
      </c>
      <c r="AD15" s="0" t="s">
        <v>757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s">
        <f>=676.34</f>
      </c>
      <c r="CO15" s="0" t="s">
        <v>757</v>
      </c>
      <c r="CP15" s="11" t="n">
        <v>45644</v>
      </c>
      <c r="CQ15" s="6" t="s">
        <f>=-863.1</f>
      </c>
      <c r="CR15" s="0" t="s">
        <v>652</v>
      </c>
      <c r="CS15" s="11" t="n">
        <v>45303</v>
      </c>
      <c r="CT15" s="6" t="s">
        <f>=1319.46</f>
      </c>
      <c r="CU15" s="0" t="s">
        <v>757</v>
      </c>
      <c r="CV15" s="11" t="n">
        <v>45702</v>
      </c>
      <c r="CW15" s="6" t="s">
        <f>=1090.61</f>
      </c>
      <c r="CX15" s="0" t="s">
        <v>757</v>
      </c>
      <c r="CY15" s="11" t="n">
        <v>45356</v>
      </c>
      <c r="CZ15" s="6" t="s">
        <f>=673.53</f>
      </c>
      <c r="DA15" s="0" t="s">
        <v>757</v>
      </c>
      <c r="DB15" s="11" t="n">
        <v>45385</v>
      </c>
      <c r="DC15" s="6" t="s">
        <f>=-499.07</f>
      </c>
      <c r="DD15" s="0" t="s">
        <v>515</v>
      </c>
      <c r="DE15" s="11" t="n">
        <v>45702</v>
      </c>
      <c r="DF15" s="6" t="s">
        <f>=772.95</f>
      </c>
      <c r="DG15" s="0" t="s">
        <v>757</v>
      </c>
      <c r="DH15" s="11" t="n">
        <v>45506</v>
      </c>
      <c r="DI15" s="6" t="s">
        <f>=646.67</f>
      </c>
      <c r="DJ15" s="0" t="s">
        <v>757</v>
      </c>
      <c r="DK15" s="0"/>
      <c r="DL15" s="10" t="s">
        <f>=XIRR(DL2:DL14,DK2:DK14)</f>
      </c>
      <c r="DM15" s="0"/>
      <c r="DN15" s="0"/>
      <c r="DO15" s="10" t="s">
        <f>=XIRR(DO2:DO14,DN2:DN14)</f>
      </c>
      <c r="DP15" s="0"/>
      <c r="DQ15" s="11" t="n">
        <v>45810</v>
      </c>
      <c r="DR15" s="8" t="s">
        <f>=-Портфель!J43</f>
      </c>
      <c r="DS15" s="0" t="s">
        <v>758</v>
      </c>
      <c r="DT15" s="0"/>
      <c r="DU15" s="0"/>
      <c r="DV15" s="0"/>
      <c r="DW15" s="11" t="n">
        <v>45749</v>
      </c>
      <c r="DX15" s="6" t="s">
        <f>=-345.51</f>
      </c>
      <c r="DY15" s="0" t="s">
        <v>703</v>
      </c>
      <c r="DZ15" s="11" t="n">
        <v>45616</v>
      </c>
      <c r="EA15" s="6" t="s">
        <f>=-325.35</f>
      </c>
      <c r="EB15" s="0" t="s">
        <v>534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11" t="n">
        <v>45836</v>
      </c>
      <c r="FT15" s="8" t="s">
        <f>=-Портфель!J61</f>
      </c>
      <c r="FU15" s="0" t="s">
        <v>758</v>
      </c>
      <c r="FV15" s="11" t="n">
        <v>45530</v>
      </c>
      <c r="FW15" s="6" t="s">
        <f>=-29.5</f>
      </c>
      <c r="FX15" s="0" t="s">
        <v>507</v>
      </c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11" t="n">
        <v>45744</v>
      </c>
      <c r="HV15" s="6" t="s">
        <f>=-18.7</f>
      </c>
      <c r="HW15" s="0" t="s">
        <v>699</v>
      </c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10" t="s">
        <f>=XIRR(JL2:JL14,JK2:JK14)</f>
      </c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8" t="s">
        <f>=-SUM(KA2:KA13)</f>
      </c>
      <c r="KB15" s="0" t="s">
        <v>759</v>
      </c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8" t="s">
        <f>=-SUM(KP2:KP13)</f>
      </c>
      <c r="KQ15" s="0" t="s">
        <v>759</v>
      </c>
      <c r="KR15" s="0"/>
      <c r="KS15" s="0"/>
      <c r="KT15" s="0"/>
      <c r="KU15" s="0"/>
      <c r="KV15" s="10" t="s">
        <f>=XIRR(KV2:KV14,KU2:KU14)</f>
      </c>
      <c r="KW15" s="0"/>
      <c r="KX15" s="0"/>
      <c r="KY15" s="0"/>
      <c r="KZ15" s="0"/>
      <c r="LA15" s="0"/>
      <c r="LB15" s="8" t="s">
        <f>=-SUM(LB2:LB13)</f>
      </c>
      <c r="LC15" s="0" t="s">
        <v>759</v>
      </c>
      <c r="LD15" s="11" t="n">
        <v>45568</v>
      </c>
      <c r="LE15" s="6" t="s">
        <f>=-6.98</f>
      </c>
      <c r="LF15" s="0" t="s">
        <v>607</v>
      </c>
    </row>
    <row collapsed="false" customFormat="false" customHeight="false" hidden="false" ht="12.1" outlineLevel="0" r="16">
      <c r="A16" s="11" t="n">
        <v>45484</v>
      </c>
      <c r="B16" s="6" t="n">
        <v>-4329</v>
      </c>
      <c r="C16" s="0" t="s">
        <v>560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45810</v>
      </c>
      <c r="AC16" s="8" t="s">
        <f>=-Портфель!J11</f>
      </c>
      <c r="AD16" s="0" t="s">
        <v>758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s">
        <f>=1371.7</f>
      </c>
      <c r="CO16" s="0" t="s">
        <v>757</v>
      </c>
      <c r="CP16" s="11" t="n">
        <v>45702</v>
      </c>
      <c r="CQ16" s="6" t="s">
        <f>=1076.41</f>
      </c>
      <c r="CR16" s="0" t="s">
        <v>757</v>
      </c>
      <c r="CS16" s="11" t="n">
        <v>45351</v>
      </c>
      <c r="CT16" s="6" t="s">
        <f>=661.05</f>
      </c>
      <c r="CU16" s="0" t="s">
        <v>757</v>
      </c>
      <c r="CV16" s="11" t="n">
        <v>45714</v>
      </c>
      <c r="CW16" s="6" t="s">
        <f>=1094.45</f>
      </c>
      <c r="CX16" s="0" t="s">
        <v>757</v>
      </c>
      <c r="CY16" s="11" t="n">
        <v>45387</v>
      </c>
      <c r="CZ16" s="6" t="s">
        <f>=636.15</f>
      </c>
      <c r="DA16" s="0" t="s">
        <v>757</v>
      </c>
      <c r="DB16" s="11" t="n">
        <v>45387</v>
      </c>
      <c r="DC16" s="6" t="s">
        <f>=649.19</f>
      </c>
      <c r="DD16" s="0" t="s">
        <v>757</v>
      </c>
      <c r="DE16" s="11" t="n">
        <v>45714</v>
      </c>
      <c r="DF16" s="6" t="s">
        <f>=759.68</f>
      </c>
      <c r="DG16" s="0" t="s">
        <v>757</v>
      </c>
      <c r="DH16" s="11" t="n">
        <v>45553</v>
      </c>
      <c r="DI16" s="6" t="s">
        <f>=-323.62</f>
      </c>
      <c r="DJ16" s="0" t="s">
        <v>594</v>
      </c>
      <c r="DK16" s="0"/>
      <c r="DL16" s="8" t="s">
        <f>=-SUM(DL2:DL14)</f>
      </c>
      <c r="DM16" s="0" t="s">
        <v>759</v>
      </c>
      <c r="DN16" s="0"/>
      <c r="DO16" s="8" t="s">
        <f>=-SUM(DO2:DO14)</f>
      </c>
      <c r="DP16" s="0" t="s">
        <v>759</v>
      </c>
      <c r="DQ16" s="0"/>
      <c r="DR16" s="10" t="s">
        <f>=XIRR(DR2:DR15,DQ2:DQ15)</f>
      </c>
      <c r="DS16" s="0"/>
      <c r="DT16" s="0"/>
      <c r="DU16" s="0"/>
      <c r="DV16" s="0"/>
      <c r="DW16" s="11" t="n">
        <v>45776</v>
      </c>
      <c r="DX16" s="6" t="s">
        <f>=667.6</f>
      </c>
      <c r="DY16" s="0" t="s">
        <v>757</v>
      </c>
      <c r="DZ16" s="11" t="n">
        <v>45714</v>
      </c>
      <c r="EA16" s="6" t="s">
        <f>=627.39</f>
      </c>
      <c r="EB16" s="0" t="s">
        <v>757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10" t="s">
        <f>=XIRR(FT2:FT15,FS2:FS15)</f>
      </c>
      <c r="FU16" s="0"/>
      <c r="FV16" s="11" t="n">
        <v>45561</v>
      </c>
      <c r="FW16" s="6" t="s">
        <f>=-31.22</f>
      </c>
      <c r="FX16" s="0" t="s">
        <v>601</v>
      </c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11" t="n">
        <v>45775</v>
      </c>
      <c r="HV16" s="6" t="s">
        <f>=-19.17</f>
      </c>
      <c r="HW16" s="0" t="s">
        <v>719</v>
      </c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8" t="s">
        <f>=-SUM(JL2:JL14)</f>
      </c>
      <c r="JM16" s="0" t="s">
        <v>759</v>
      </c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8" t="s">
        <f>=-SUM(KV2:KV14)</f>
      </c>
      <c r="KW16" s="0" t="s">
        <v>759</v>
      </c>
      <c r="KX16" s="0"/>
      <c r="KY16" s="0"/>
      <c r="KZ16" s="0"/>
      <c r="LA16" s="0"/>
      <c r="LB16" s="0"/>
      <c r="LC16" s="0"/>
      <c r="LD16" s="11" t="n">
        <v>45659</v>
      </c>
      <c r="LE16" s="6" t="s">
        <f>=-6.98</f>
      </c>
      <c r="LF16" s="0" t="s">
        <v>607</v>
      </c>
    </row>
    <row collapsed="false" customFormat="false" customHeight="false" hidden="false" ht="12.1" outlineLevel="0" r="17">
      <c r="A17" s="11" t="n">
        <v>45597</v>
      </c>
      <c r="B17" s="6" t="n">
        <v>7072.65</v>
      </c>
      <c r="C17" s="0" t="s">
        <v>757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8" t="s">
        <f>=-SUM(Q2:Q15)</f>
      </c>
      <c r="R17" s="0" t="s">
        <v>759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s">
        <f>=2007.33</f>
      </c>
      <c r="CO17" s="0" t="s">
        <v>757</v>
      </c>
      <c r="CP17" s="11" t="n">
        <v>45702</v>
      </c>
      <c r="CQ17" s="6" t="s">
        <f>=1076.41</f>
      </c>
      <c r="CR17" s="0" t="s">
        <v>757</v>
      </c>
      <c r="CS17" s="11" t="n">
        <v>45356</v>
      </c>
      <c r="CT17" s="6" t="s">
        <f>=655.1</f>
      </c>
      <c r="CU17" s="0" t="s">
        <v>757</v>
      </c>
      <c r="CV17" s="11" t="n">
        <v>45714</v>
      </c>
      <c r="CW17" s="6" t="s">
        <f>=1094.6</f>
      </c>
      <c r="CX17" s="0" t="s">
        <v>757</v>
      </c>
      <c r="CY17" s="11" t="n">
        <v>45447</v>
      </c>
      <c r="CZ17" s="6" t="s">
        <f>=602.21</f>
      </c>
      <c r="DA17" s="0" t="s">
        <v>757</v>
      </c>
      <c r="DB17" s="11" t="n">
        <v>45447</v>
      </c>
      <c r="DC17" s="6" t="s">
        <f>=610.68</f>
      </c>
      <c r="DD17" s="0" t="s">
        <v>757</v>
      </c>
      <c r="DE17" s="11" t="n">
        <v>45714</v>
      </c>
      <c r="DF17" s="6" t="s">
        <f>=759.68</f>
      </c>
      <c r="DG17" s="0" t="s">
        <v>757</v>
      </c>
      <c r="DH17" s="11" t="n">
        <v>45566</v>
      </c>
      <c r="DI17" s="6" t="s">
        <f>=594.98</f>
      </c>
      <c r="DJ17" s="0" t="s">
        <v>757</v>
      </c>
      <c r="DK17" s="0"/>
      <c r="DL17" s="0"/>
      <c r="DM17" s="0"/>
      <c r="DN17" s="0"/>
      <c r="DO17" s="0"/>
      <c r="DP17" s="0"/>
      <c r="DQ17" s="0"/>
      <c r="DR17" s="8" t="s">
        <f>=-SUM(DR2:DR15)</f>
      </c>
      <c r="DS17" s="0" t="s">
        <v>759</v>
      </c>
      <c r="DT17" s="0"/>
      <c r="DU17" s="0"/>
      <c r="DV17" s="0"/>
      <c r="DW17" s="11" t="n">
        <v>45810</v>
      </c>
      <c r="DX17" s="8" t="s">
        <f>=-Портфель!J45</f>
      </c>
      <c r="DY17" s="0" t="s">
        <v>758</v>
      </c>
      <c r="DZ17" s="11" t="n">
        <v>45798</v>
      </c>
      <c r="EA17" s="6" t="s">
        <f>=-361.5</f>
      </c>
      <c r="EB17" s="0" t="s">
        <v>740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8" t="s">
        <f>=-SUM(FT2:FT15)</f>
      </c>
      <c r="FU17" s="0" t="s">
        <v>759</v>
      </c>
      <c r="FV17" s="11" t="n">
        <v>45592</v>
      </c>
      <c r="FW17" s="6" t="s">
        <f>=-33.7</f>
      </c>
      <c r="FX17" s="0" t="s">
        <v>620</v>
      </c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11" t="n">
        <v>45806</v>
      </c>
      <c r="HV17" s="6" t="s">
        <f>=-19.2</f>
      </c>
      <c r="HW17" s="0" t="s">
        <v>748</v>
      </c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11" t="n">
        <v>45750</v>
      </c>
      <c r="LE17" s="6" t="s">
        <f>=-6.98</f>
      </c>
      <c r="LF17" s="0" t="s">
        <v>607</v>
      </c>
    </row>
    <row collapsed="false" customFormat="false" customHeight="false" hidden="false" ht="12.1" outlineLevel="0" r="18">
      <c r="A18" s="11" t="n">
        <v>45639</v>
      </c>
      <c r="B18" s="6" t="n">
        <v>4579.5</v>
      </c>
      <c r="C18" s="0" t="s">
        <v>757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759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s">
        <f>=-608.4</f>
      </c>
      <c r="CO18" s="0" t="s">
        <v>491</v>
      </c>
      <c r="CP18" s="11" t="n">
        <v>45714</v>
      </c>
      <c r="CQ18" s="6" t="s">
        <f>=1084.33</f>
      </c>
      <c r="CR18" s="0" t="s">
        <v>757</v>
      </c>
      <c r="CS18" s="11" t="n">
        <v>45387</v>
      </c>
      <c r="CT18" s="6" t="s">
        <f>=618.7</f>
      </c>
      <c r="CU18" s="0" t="s">
        <v>757</v>
      </c>
      <c r="CV18" s="11" t="n">
        <v>45791</v>
      </c>
      <c r="CW18" s="6" t="s">
        <f>=-1033.89</f>
      </c>
      <c r="CX18" s="0" t="s">
        <v>735</v>
      </c>
      <c r="CY18" s="11" t="n">
        <v>45471</v>
      </c>
      <c r="CZ18" s="6" t="s">
        <f>=594.05</f>
      </c>
      <c r="DA18" s="0" t="s">
        <v>757</v>
      </c>
      <c r="DB18" s="11" t="n">
        <v>45506</v>
      </c>
      <c r="DC18" s="6" t="s">
        <f>=600.32</f>
      </c>
      <c r="DD18" s="0" t="s">
        <v>757</v>
      </c>
      <c r="DE18" s="11" t="n">
        <v>45763</v>
      </c>
      <c r="DF18" s="6" t="s">
        <f>=-495.95</f>
      </c>
      <c r="DG18" s="0" t="s">
        <v>710</v>
      </c>
      <c r="DH18" s="11" t="n">
        <v>45566</v>
      </c>
      <c r="DI18" s="6" t="s">
        <f>=594.76</f>
      </c>
      <c r="DJ18" s="0" t="s">
        <v>757</v>
      </c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10" t="s">
        <f>=XIRR(DX2:DX17,DW2:DW17)</f>
      </c>
      <c r="DY18" s="0"/>
      <c r="DZ18" s="11" t="n">
        <v>45810</v>
      </c>
      <c r="EA18" s="8" t="s">
        <f>=-Портфель!J46</f>
      </c>
      <c r="EB18" s="0" t="s">
        <v>758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11" t="n">
        <v>45623</v>
      </c>
      <c r="FW18" s="6" t="s">
        <f>=-33.96</f>
      </c>
      <c r="FX18" s="0" t="s">
        <v>632</v>
      </c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11" t="n">
        <v>45810</v>
      </c>
      <c r="HV18" s="8" t="s">
        <f>=-Портфель!J79</f>
      </c>
      <c r="HW18" s="0" t="s">
        <v>758</v>
      </c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11" t="n">
        <v>45810</v>
      </c>
      <c r="LE18" s="8" t="s">
        <f>=-Портфель!J108</f>
      </c>
      <c r="LF18" s="0" t="s">
        <v>758</v>
      </c>
    </row>
    <row collapsed="false" customFormat="false" customHeight="false" hidden="false" ht="12.1" outlineLevel="0" r="19">
      <c r="A19" s="11" t="n">
        <v>45810</v>
      </c>
      <c r="B19" s="8" t="s">
        <f>=-Портфель!J2</f>
      </c>
      <c r="C19" s="0" t="s">
        <v>758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s">
        <f>=644.92</f>
      </c>
      <c r="CO19" s="0" t="s">
        <v>757</v>
      </c>
      <c r="CP19" s="11" t="n">
        <v>45714</v>
      </c>
      <c r="CQ19" s="6" t="s">
        <f>=1084.33</f>
      </c>
      <c r="CR19" s="0" t="s">
        <v>757</v>
      </c>
      <c r="CS19" s="11" t="n">
        <v>45448</v>
      </c>
      <c r="CT19" s="6" t="s">
        <f>=-637.2</f>
      </c>
      <c r="CU19" s="0" t="s">
        <v>544</v>
      </c>
      <c r="CV19" s="11" t="n">
        <v>45810</v>
      </c>
      <c r="CW19" s="8" t="s">
        <f>=-Портфель!J36</f>
      </c>
      <c r="CX19" s="0" t="s">
        <v>758</v>
      </c>
      <c r="CY19" s="11" t="n">
        <v>45506</v>
      </c>
      <c r="CZ19" s="6" t="s">
        <f>=587.83</f>
      </c>
      <c r="DA19" s="0" t="s">
        <v>757</v>
      </c>
      <c r="DB19" s="11" t="n">
        <v>45567</v>
      </c>
      <c r="DC19" s="6" t="s">
        <f>=-614.24</f>
      </c>
      <c r="DD19" s="0" t="s">
        <v>606</v>
      </c>
      <c r="DE19" s="11" t="n">
        <v>45810</v>
      </c>
      <c r="DF19" s="8" t="s">
        <f>=-Портфель!J39</f>
      </c>
      <c r="DG19" s="0" t="s">
        <v>758</v>
      </c>
      <c r="DH19" s="11" t="n">
        <v>45714</v>
      </c>
      <c r="DI19" s="6" t="s">
        <f>=664.15</f>
      </c>
      <c r="DJ19" s="0" t="s">
        <v>757</v>
      </c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8" t="s">
        <f>=-SUM(DX2:DX17)</f>
      </c>
      <c r="DY19" s="0" t="s">
        <v>759</v>
      </c>
      <c r="DZ19" s="0"/>
      <c r="EA19" s="10" t="s">
        <f>=XIRR(EA2:EA18,DZ2:DZ18)</f>
      </c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11" t="n">
        <v>45654</v>
      </c>
      <c r="FW19" s="6" t="s">
        <f>=-36.78</f>
      </c>
      <c r="FX19" s="0" t="s">
        <v>658</v>
      </c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10" t="s">
        <f>=XIRR(HV2:HV18,HU2:HU18)</f>
      </c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10" t="s">
        <f>=XIRR(LE2:LE18,LD2:LD18)</f>
      </c>
      <c r="LF19" s="0"/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s">
        <f>=2579.7</f>
      </c>
      <c r="CO20" s="0" t="s">
        <v>757</v>
      </c>
      <c r="CP20" s="11" t="n">
        <v>45810</v>
      </c>
      <c r="CQ20" s="8" t="s">
        <f>=-Портфель!J34</f>
      </c>
      <c r="CR20" s="0" t="s">
        <v>758</v>
      </c>
      <c r="CS20" s="11" t="n">
        <v>45471</v>
      </c>
      <c r="CT20" s="6" t="s">
        <f>=2185.88</f>
      </c>
      <c r="CU20" s="0" t="s">
        <v>757</v>
      </c>
      <c r="CV20" s="0"/>
      <c r="CW20" s="10" t="s">
        <f>=XIRR(CW2:CW19,CV2:CV19)</f>
      </c>
      <c r="CX20" s="0"/>
      <c r="CY20" s="11" t="n">
        <v>45518</v>
      </c>
      <c r="CZ20" s="6" t="s">
        <f>=-628.2</f>
      </c>
      <c r="DA20" s="0" t="s">
        <v>585</v>
      </c>
      <c r="DB20" s="11" t="n">
        <v>45714</v>
      </c>
      <c r="DC20" s="6" t="s">
        <f>=607.69</f>
      </c>
      <c r="DD20" s="0" t="s">
        <v>757</v>
      </c>
      <c r="DE20" s="0"/>
      <c r="DF20" s="10" t="s">
        <f>=XIRR(DF2:DF19,DE2:DE19)</f>
      </c>
      <c r="DG20" s="0"/>
      <c r="DH20" s="11" t="n">
        <v>45735</v>
      </c>
      <c r="DI20" s="6" t="s">
        <f>=-411.88</f>
      </c>
      <c r="DJ20" s="0" t="s">
        <v>689</v>
      </c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8" t="s">
        <f>=-SUM(EA2:EA18)</f>
      </c>
      <c r="EB20" s="0" t="s">
        <v>759</v>
      </c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11" t="n">
        <v>45685</v>
      </c>
      <c r="FW20" s="6" t="s">
        <f>=-38.4</f>
      </c>
      <c r="FX20" s="0" t="s">
        <v>667</v>
      </c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8" t="s">
        <f>=-SUM(HV2:HV18)</f>
      </c>
      <c r="HW20" s="0" t="s">
        <v>759</v>
      </c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8" t="s">
        <f>=-SUM(LE2:LE18)</f>
      </c>
      <c r="LF20" s="0" t="s">
        <v>759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759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11" t="n">
        <v>45356</v>
      </c>
      <c r="CN21" s="6" t="s">
        <f>=640.83</f>
      </c>
      <c r="CO21" s="0" t="s">
        <v>757</v>
      </c>
      <c r="CP21" s="0"/>
      <c r="CQ21" s="10" t="s">
        <f>=XIRR(CQ2:CQ20,CP2:CP20)</f>
      </c>
      <c r="CR21" s="0"/>
      <c r="CS21" s="11" t="n">
        <v>45630</v>
      </c>
      <c r="CT21" s="6" t="s">
        <f>=-778.8</f>
      </c>
      <c r="CU21" s="0" t="s">
        <v>641</v>
      </c>
      <c r="CV21" s="0"/>
      <c r="CW21" s="8" t="s">
        <f>=-SUM(CW2:CW19)</f>
      </c>
      <c r="CX21" s="0" t="s">
        <v>759</v>
      </c>
      <c r="CY21" s="11" t="n">
        <v>45700</v>
      </c>
      <c r="CZ21" s="6" t="s">
        <f>=-628.2</f>
      </c>
      <c r="DA21" s="0" t="s">
        <v>585</v>
      </c>
      <c r="DB21" s="11" t="n">
        <v>45749</v>
      </c>
      <c r="DC21" s="6" t="s">
        <f>=-652.63</f>
      </c>
      <c r="DD21" s="0" t="s">
        <v>702</v>
      </c>
      <c r="DE21" s="0"/>
      <c r="DF21" s="8" t="s">
        <f>=-SUM(DF2:DF19)</f>
      </c>
      <c r="DG21" s="0" t="s">
        <v>759</v>
      </c>
      <c r="DH21" s="11" t="n">
        <v>45810</v>
      </c>
      <c r="DI21" s="8" t="s">
        <f>=-Портфель!J40</f>
      </c>
      <c r="DJ21" s="0" t="s">
        <v>758</v>
      </c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11" t="n">
        <v>45716</v>
      </c>
      <c r="FW21" s="6" t="s">
        <f>=-37.64</f>
      </c>
      <c r="FX21" s="0" t="s">
        <v>684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11" t="n">
        <v>45387</v>
      </c>
      <c r="CN22" s="6" t="s">
        <f>=1817.45</f>
      </c>
      <c r="CO22" s="0" t="s">
        <v>757</v>
      </c>
      <c r="CP22" s="0"/>
      <c r="CQ22" s="8" t="s">
        <f>=-SUM(CQ2:CQ20)</f>
      </c>
      <c r="CR22" s="0" t="s">
        <v>759</v>
      </c>
      <c r="CS22" s="11" t="n">
        <v>45714</v>
      </c>
      <c r="CT22" s="6" t="s">
        <f>=556.13</f>
      </c>
      <c r="CU22" s="0" t="s">
        <v>757</v>
      </c>
      <c r="CV22" s="0"/>
      <c r="CW22" s="0"/>
      <c r="CX22" s="0"/>
      <c r="CY22" s="11" t="n">
        <v>45714</v>
      </c>
      <c r="CZ22" s="6" t="s">
        <f>=570.58</f>
      </c>
      <c r="DA22" s="0" t="s">
        <v>757</v>
      </c>
      <c r="DB22" s="11" t="n">
        <v>45810</v>
      </c>
      <c r="DC22" s="8" t="s">
        <f>=-Портфель!J38</f>
      </c>
      <c r="DD22" s="0" t="s">
        <v>758</v>
      </c>
      <c r="DE22" s="0"/>
      <c r="DF22" s="0"/>
      <c r="DG22" s="0"/>
      <c r="DH22" s="0"/>
      <c r="DI22" s="10" t="s">
        <f>=XIRR(DI2:DI21,DH2:DH21)</f>
      </c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11" t="n">
        <v>45747</v>
      </c>
      <c r="FW22" s="6" t="s">
        <f>=-37.72</f>
      </c>
      <c r="FX22" s="0" t="s">
        <v>700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11" t="n">
        <v>45447</v>
      </c>
      <c r="CN23" s="6" t="s">
        <f>=571.14</f>
      </c>
      <c r="CO23" s="0" t="s">
        <v>757</v>
      </c>
      <c r="CP23" s="0"/>
      <c r="CQ23" s="0"/>
      <c r="CR23" s="0"/>
      <c r="CS23" s="11" t="n">
        <v>45810</v>
      </c>
      <c r="CT23" s="8" t="s">
        <f>=-Портфель!J35</f>
      </c>
      <c r="CU23" s="0" t="s">
        <v>758</v>
      </c>
      <c r="CV23" s="0"/>
      <c r="CW23" s="0"/>
      <c r="CX23" s="0"/>
      <c r="CY23" s="11" t="n">
        <v>45810</v>
      </c>
      <c r="CZ23" s="8" t="s">
        <f>=-Портфель!J37</f>
      </c>
      <c r="DA23" s="0" t="s">
        <v>758</v>
      </c>
      <c r="DB23" s="0"/>
      <c r="DC23" s="10" t="s">
        <f>=XIRR(DC2:DC22,DB2:DB22)</f>
      </c>
      <c r="DD23" s="0"/>
      <c r="DE23" s="0"/>
      <c r="DF23" s="0"/>
      <c r="DG23" s="0"/>
      <c r="DH23" s="0"/>
      <c r="DI23" s="8" t="s">
        <f>=-SUM(DI2:DI21)</f>
      </c>
      <c r="DJ23" s="0" t="s">
        <v>759</v>
      </c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11" t="n">
        <v>45778</v>
      </c>
      <c r="FW23" s="6" t="s">
        <f>=-38.76</f>
      </c>
      <c r="FX23" s="0" t="s">
        <v>723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11" t="n">
        <v>45504</v>
      </c>
      <c r="CN24" s="6" t="s">
        <f>=-912.6</f>
      </c>
      <c r="CO24" s="0" t="s">
        <v>578</v>
      </c>
      <c r="CP24" s="0"/>
      <c r="CQ24" s="0"/>
      <c r="CR24" s="0"/>
      <c r="CS24" s="0"/>
      <c r="CT24" s="10" t="s">
        <f>=XIRR(CT2:CT23,CS2:CS23)</f>
      </c>
      <c r="CU24" s="0"/>
      <c r="CV24" s="0"/>
      <c r="CW24" s="0"/>
      <c r="CX24" s="0"/>
      <c r="CY24" s="0"/>
      <c r="CZ24" s="10" t="s">
        <f>=XIRR(CZ2:CZ23,CY2:CY23)</f>
      </c>
      <c r="DA24" s="0"/>
      <c r="DB24" s="0"/>
      <c r="DC24" s="8" t="s">
        <f>=-SUM(DC2:DC22)</f>
      </c>
      <c r="DD24" s="0" t="s">
        <v>759</v>
      </c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11" t="n">
        <v>45809</v>
      </c>
      <c r="FW24" s="6" t="s">
        <f>=-38.6</f>
      </c>
      <c r="FX24" s="0" t="s">
        <v>751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11" t="n">
        <v>45686</v>
      </c>
      <c r="CN25" s="6" t="s">
        <f>=-912.6</f>
      </c>
      <c r="CO25" s="0" t="s">
        <v>578</v>
      </c>
      <c r="CP25" s="0"/>
      <c r="CQ25" s="0"/>
      <c r="CR25" s="0"/>
      <c r="CS25" s="0"/>
      <c r="CT25" s="8" t="s">
        <f>=-SUM(CT2:CT23)</f>
      </c>
      <c r="CU25" s="0" t="s">
        <v>759</v>
      </c>
      <c r="CV25" s="0"/>
      <c r="CW25" s="0"/>
      <c r="CX25" s="0"/>
      <c r="CY25" s="0"/>
      <c r="CZ25" s="8" t="s">
        <f>=-SUM(CZ2:CZ23)</f>
      </c>
      <c r="DA25" s="0" t="s">
        <v>759</v>
      </c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11" t="n">
        <v>45810</v>
      </c>
      <c r="FW25" s="8" t="s">
        <f>=-Портфель!J62</f>
      </c>
      <c r="FX25" s="0" t="s">
        <v>758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11" t="n">
        <v>45714</v>
      </c>
      <c r="CN26" s="6" t="s">
        <f>=544.85</f>
      </c>
      <c r="CO26" s="0" t="s">
        <v>757</v>
      </c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10" t="s">
        <f>=XIRR(FW2:FW25,FV2:FV25)</f>
      </c>
      <c r="FX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11" t="n">
        <v>45810</v>
      </c>
      <c r="CN27" s="8" t="s">
        <f>=-Портфель!J33</f>
      </c>
      <c r="CO27" s="0" t="s">
        <v>758</v>
      </c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8" t="s">
        <f>=-SUM(FW2:FW25)</f>
      </c>
      <c r="FX27" s="0" t="s">
        <v>759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759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760</v>
      </c>
      <c r="C1" s="0"/>
      <c r="D1" s="0"/>
      <c r="E1" s="4" t="s">
        <v>761</v>
      </c>
      <c r="F1" s="0"/>
      <c r="G1" s="0"/>
      <c r="H1" s="4" t="s">
        <v>762</v>
      </c>
      <c r="I1" s="0"/>
      <c r="J1" s="0"/>
      <c r="K1" s="4" t="s">
        <v>763</v>
      </c>
      <c r="L1" s="0"/>
      <c r="M1" s="0"/>
      <c r="N1" s="4" t="s">
        <v>764</v>
      </c>
      <c r="O1" s="0"/>
      <c r="P1" s="0"/>
      <c r="Q1" s="4" t="s">
        <v>765</v>
      </c>
      <c r="R1" s="0"/>
      <c r="S1" s="0"/>
      <c r="T1" s="4" t="s">
        <v>766</v>
      </c>
      <c r="U1" s="0"/>
      <c r="V1" s="0"/>
      <c r="W1" s="4" t="s">
        <v>767</v>
      </c>
      <c r="X1" s="0"/>
      <c r="Y1" s="0"/>
      <c r="Z1" s="4" t="s">
        <v>768</v>
      </c>
      <c r="AA1" s="0"/>
      <c r="AB1" s="0"/>
      <c r="AC1" s="4" t="s">
        <v>769</v>
      </c>
      <c r="AD1" s="0"/>
    </row>
    <row collapsed="false" customFormat="false" customHeight="false" hidden="false" ht="12.1" outlineLevel="0" r="2">
      <c r="A2" s="11" t="n">
        <v>44692</v>
      </c>
      <c r="B2" s="6" t="n">
        <v>1010.1</v>
      </c>
      <c r="C2" s="0" t="s">
        <v>757</v>
      </c>
      <c r="D2" s="11" t="n">
        <v>44693</v>
      </c>
      <c r="E2" s="6" t="n">
        <v>877.98</v>
      </c>
      <c r="F2" s="0" t="s">
        <v>757</v>
      </c>
      <c r="G2" s="11" t="n">
        <v>44694</v>
      </c>
      <c r="H2" s="6" t="n">
        <v>737.63</v>
      </c>
      <c r="I2" s="0" t="s">
        <v>757</v>
      </c>
      <c r="J2" s="11" t="n">
        <v>44708</v>
      </c>
      <c r="K2" s="6" t="n">
        <v>396.69</v>
      </c>
      <c r="L2" s="0" t="s">
        <v>757</v>
      </c>
      <c r="M2" s="11" t="n">
        <v>44750</v>
      </c>
      <c r="N2" s="6" t="n">
        <v>313.34</v>
      </c>
      <c r="O2" s="0" t="s">
        <v>757</v>
      </c>
      <c r="P2" s="11" t="n">
        <v>44903</v>
      </c>
      <c r="Q2" s="6" t="n">
        <v>1075.65</v>
      </c>
      <c r="R2" s="0" t="s">
        <v>757</v>
      </c>
      <c r="S2" s="11" t="n">
        <v>45056</v>
      </c>
      <c r="T2" s="6" t="n">
        <v>1001.3</v>
      </c>
      <c r="U2" s="0" t="s">
        <v>757</v>
      </c>
      <c r="V2" s="11" t="n">
        <v>45124</v>
      </c>
      <c r="W2" s="6" t="n">
        <v>618.65</v>
      </c>
      <c r="X2" s="0" t="s">
        <v>757</v>
      </c>
      <c r="Y2" s="11" t="n">
        <v>45147</v>
      </c>
      <c r="Z2" s="6" t="n">
        <v>985.31</v>
      </c>
      <c r="AA2" s="0" t="s">
        <v>757</v>
      </c>
      <c r="AB2" s="11" t="n">
        <v>45147</v>
      </c>
      <c r="AC2" s="6" t="n">
        <v>827.99</v>
      </c>
      <c r="AD2" s="0" t="s">
        <v>757</v>
      </c>
    </row>
    <row collapsed="false" customFormat="false" customHeight="false" hidden="false" ht="12.1" outlineLevel="0" r="3">
      <c r="A3" s="11" t="n">
        <v>44769</v>
      </c>
      <c r="B3" s="6" t="n">
        <v>-29.03</v>
      </c>
      <c r="C3" s="0" t="s">
        <v>343</v>
      </c>
      <c r="D3" s="11" t="n">
        <v>44868</v>
      </c>
      <c r="E3" s="6" t="n">
        <v>-42.38</v>
      </c>
      <c r="F3" s="0" t="s">
        <v>357</v>
      </c>
      <c r="G3" s="11" t="n">
        <v>44706</v>
      </c>
      <c r="H3" s="6" t="n">
        <v>-16.08</v>
      </c>
      <c r="I3" s="0" t="s">
        <v>337</v>
      </c>
      <c r="J3" s="11" t="n">
        <v>44746</v>
      </c>
      <c r="K3" s="6" t="n">
        <v>314.44</v>
      </c>
      <c r="L3" s="0" t="s">
        <v>757</v>
      </c>
      <c r="M3" s="11" t="n">
        <v>45301</v>
      </c>
      <c r="N3" s="6" t="n">
        <v>-313.56</v>
      </c>
      <c r="O3" s="0" t="s">
        <v>770</v>
      </c>
      <c r="P3" s="11" t="n">
        <v>44958</v>
      </c>
      <c r="Q3" s="6" t="n">
        <v>-71.9</v>
      </c>
      <c r="R3" s="0" t="s">
        <v>374</v>
      </c>
      <c r="S3" s="11" t="n">
        <v>45068</v>
      </c>
      <c r="T3" s="6" t="n">
        <v>-32.41</v>
      </c>
      <c r="U3" s="0" t="s">
        <v>402</v>
      </c>
      <c r="V3" s="11" t="n">
        <v>45729</v>
      </c>
      <c r="W3" s="6" t="n">
        <v>-172.28</v>
      </c>
      <c r="X3" s="0" t="s">
        <v>770</v>
      </c>
      <c r="Y3" s="11" t="n">
        <v>45317</v>
      </c>
      <c r="Z3" s="6" t="n">
        <v>-47.12</v>
      </c>
      <c r="AA3" s="0" t="s">
        <v>489</v>
      </c>
      <c r="AB3" s="11" t="n">
        <v>45195</v>
      </c>
      <c r="AC3" s="6" t="n">
        <v>-21.6</v>
      </c>
      <c r="AD3" s="0" t="s">
        <v>445</v>
      </c>
    </row>
    <row collapsed="false" customFormat="false" customHeight="false" hidden="false" ht="12.1" outlineLevel="0" r="4">
      <c r="A4" s="11" t="n">
        <v>44860</v>
      </c>
      <c r="B4" s="6" t="n">
        <v>-19.69</v>
      </c>
      <c r="C4" s="0" t="s">
        <v>354</v>
      </c>
      <c r="D4" s="11" t="n">
        <v>45050</v>
      </c>
      <c r="E4" s="6" t="n">
        <v>-42.38</v>
      </c>
      <c r="F4" s="0" t="s">
        <v>357</v>
      </c>
      <c r="G4" s="11" t="n">
        <v>44797</v>
      </c>
      <c r="H4" s="6" t="n">
        <v>-16.08</v>
      </c>
      <c r="I4" s="0" t="s">
        <v>337</v>
      </c>
      <c r="J4" s="11" t="n">
        <v>45597</v>
      </c>
      <c r="K4" s="6" t="n">
        <v>-1040</v>
      </c>
      <c r="L4" s="0" t="s">
        <v>770</v>
      </c>
      <c r="M4" s="0"/>
      <c r="N4" s="10" t="s">
        <f>=XIRR(N2:N3,M2:M3)</f>
      </c>
      <c r="O4" s="0"/>
      <c r="P4" s="11" t="n">
        <v>45140</v>
      </c>
      <c r="Q4" s="6" t="n">
        <v>-43.53</v>
      </c>
      <c r="R4" s="0" t="s">
        <v>429</v>
      </c>
      <c r="S4" s="11" t="n">
        <v>45114</v>
      </c>
      <c r="T4" s="6" t="n">
        <v>989.86</v>
      </c>
      <c r="U4" s="0" t="s">
        <v>757</v>
      </c>
      <c r="V4" s="0"/>
      <c r="W4" s="10" t="s">
        <f>=XIRR(W2:W3,V2:V3)</f>
      </c>
      <c r="X4" s="0"/>
      <c r="Y4" s="11" t="n">
        <v>45499</v>
      </c>
      <c r="Z4" s="6" t="n">
        <v>-47.12</v>
      </c>
      <c r="AA4" s="0" t="s">
        <v>489</v>
      </c>
      <c r="AB4" s="11" t="n">
        <v>45194</v>
      </c>
      <c r="AC4" s="6" t="n">
        <v>-75</v>
      </c>
      <c r="AD4" s="0" t="s">
        <v>444</v>
      </c>
    </row>
    <row collapsed="false" customFormat="false" customHeight="false" hidden="false" ht="12.1" outlineLevel="0" r="5">
      <c r="A5" s="11" t="n">
        <v>44951</v>
      </c>
      <c r="B5" s="6" t="n">
        <v>-18.31</v>
      </c>
      <c r="C5" s="0" t="s">
        <v>372</v>
      </c>
      <c r="D5" s="11" t="n">
        <v>45232</v>
      </c>
      <c r="E5" s="6" t="n">
        <v>-42.38</v>
      </c>
      <c r="F5" s="0" t="s">
        <v>357</v>
      </c>
      <c r="G5" s="11" t="n">
        <v>44888</v>
      </c>
      <c r="H5" s="6" t="n">
        <v>-16.08</v>
      </c>
      <c r="I5" s="0" t="s">
        <v>337</v>
      </c>
      <c r="J5" s="0"/>
      <c r="K5" s="10" t="s">
        <f>=XIRR(K2:K4,J2:J4)</f>
      </c>
      <c r="L5" s="0"/>
      <c r="M5" s="0"/>
      <c r="N5" s="8" t="s">
        <f>=-SUM(N2:N3)</f>
      </c>
      <c r="O5" s="0" t="s">
        <v>759</v>
      </c>
      <c r="P5" s="11" t="n">
        <v>45322</v>
      </c>
      <c r="Q5" s="6" t="n">
        <v>-42.53</v>
      </c>
      <c r="R5" s="0" t="s">
        <v>492</v>
      </c>
      <c r="S5" s="11" t="n">
        <v>45159</v>
      </c>
      <c r="T5" s="6" t="n">
        <v>-64.82</v>
      </c>
      <c r="U5" s="0" t="s">
        <v>438</v>
      </c>
      <c r="V5" s="0"/>
      <c r="W5" s="8" t="s">
        <f>=-SUM(W2:W3)</f>
      </c>
      <c r="X5" s="0" t="s">
        <v>759</v>
      </c>
      <c r="Y5" s="11" t="n">
        <v>45498</v>
      </c>
      <c r="Z5" s="6" t="n">
        <v>-1000</v>
      </c>
      <c r="AA5" s="0" t="s">
        <v>570</v>
      </c>
      <c r="AB5" s="11" t="n">
        <v>45286</v>
      </c>
      <c r="AC5" s="6" t="n">
        <v>-19.63</v>
      </c>
      <c r="AD5" s="0" t="s">
        <v>478</v>
      </c>
    </row>
    <row collapsed="false" customFormat="false" customHeight="false" hidden="false" ht="12.1" outlineLevel="0" r="6">
      <c r="A6" s="11" t="n">
        <v>45042</v>
      </c>
      <c r="B6" s="6" t="n">
        <v>-17.98</v>
      </c>
      <c r="C6" s="0" t="s">
        <v>397</v>
      </c>
      <c r="D6" s="11" t="n">
        <v>45414</v>
      </c>
      <c r="E6" s="6" t="n">
        <v>-42.38</v>
      </c>
      <c r="F6" s="0" t="s">
        <v>357</v>
      </c>
      <c r="G6" s="11" t="n">
        <v>44887</v>
      </c>
      <c r="H6" s="6" t="n">
        <v>-250</v>
      </c>
      <c r="I6" s="0" t="s">
        <v>361</v>
      </c>
      <c r="J6" s="0"/>
      <c r="K6" s="8" t="s">
        <f>=-SUM(K2:K4)</f>
      </c>
      <c r="L6" s="0" t="s">
        <v>759</v>
      </c>
      <c r="M6" s="0"/>
      <c r="N6" s="0"/>
      <c r="O6" s="0"/>
      <c r="P6" s="11" t="n">
        <v>45504</v>
      </c>
      <c r="Q6" s="6" t="n">
        <v>-72.6</v>
      </c>
      <c r="R6" s="0" t="s">
        <v>580</v>
      </c>
      <c r="S6" s="11" t="n">
        <v>45250</v>
      </c>
      <c r="T6" s="6" t="n">
        <v>-64.82</v>
      </c>
      <c r="U6" s="0" t="s">
        <v>438</v>
      </c>
      <c r="V6" s="0"/>
      <c r="W6" s="0"/>
      <c r="X6" s="0"/>
      <c r="Y6" s="0"/>
      <c r="Z6" s="10" t="s">
        <f>=XIRR(Z2:Z5,Y2:Y5)</f>
      </c>
      <c r="AA6" s="0"/>
      <c r="AB6" s="11" t="n">
        <v>45285</v>
      </c>
      <c r="AC6" s="6" t="n">
        <v>-75</v>
      </c>
      <c r="AD6" s="0" t="s">
        <v>444</v>
      </c>
    </row>
    <row collapsed="false" customFormat="false" customHeight="false" hidden="false" ht="12.1" outlineLevel="0" r="7">
      <c r="A7" s="11" t="n">
        <v>45133</v>
      </c>
      <c r="B7" s="6" t="n">
        <v>-18.18</v>
      </c>
      <c r="C7" s="0" t="s">
        <v>426</v>
      </c>
      <c r="D7" s="11" t="n">
        <v>45596</v>
      </c>
      <c r="E7" s="6" t="n">
        <v>-42.38</v>
      </c>
      <c r="F7" s="0" t="s">
        <v>357</v>
      </c>
      <c r="G7" s="11" t="n">
        <v>44979</v>
      </c>
      <c r="H7" s="6" t="n">
        <v>-10.72</v>
      </c>
      <c r="I7" s="0" t="s">
        <v>382</v>
      </c>
      <c r="J7" s="0"/>
      <c r="K7" s="0"/>
      <c r="L7" s="0"/>
      <c r="M7" s="0"/>
      <c r="N7" s="0"/>
      <c r="O7" s="0"/>
      <c r="P7" s="11" t="n">
        <v>45686</v>
      </c>
      <c r="Q7" s="6" t="n">
        <v>-84.72</v>
      </c>
      <c r="R7" s="0" t="s">
        <v>669</v>
      </c>
      <c r="S7" s="11" t="n">
        <v>45341</v>
      </c>
      <c r="T7" s="6" t="n">
        <v>-64.82</v>
      </c>
      <c r="U7" s="0" t="s">
        <v>438</v>
      </c>
      <c r="V7" s="0"/>
      <c r="W7" s="0"/>
      <c r="X7" s="0"/>
      <c r="Y7" s="0"/>
      <c r="Z7" s="8" t="s">
        <f>=-SUM(Z2:Z5)</f>
      </c>
      <c r="AA7" s="0" t="s">
        <v>759</v>
      </c>
      <c r="AB7" s="11" t="n">
        <v>45377</v>
      </c>
      <c r="AC7" s="6" t="n">
        <v>-17.67</v>
      </c>
      <c r="AD7" s="0" t="s">
        <v>508</v>
      </c>
    </row>
    <row collapsed="false" customFormat="false" customHeight="false" hidden="false" ht="12.1" outlineLevel="0" r="8">
      <c r="A8" s="11" t="n">
        <v>45224</v>
      </c>
      <c r="B8" s="6" t="n">
        <v>-27.78</v>
      </c>
      <c r="C8" s="0" t="s">
        <v>457</v>
      </c>
      <c r="D8" s="11" t="n">
        <v>45778</v>
      </c>
      <c r="E8" s="6" t="n">
        <v>-42.38</v>
      </c>
      <c r="F8" s="0" t="s">
        <v>357</v>
      </c>
      <c r="G8" s="11" t="n">
        <v>45070</v>
      </c>
      <c r="H8" s="6" t="n">
        <v>-10.72</v>
      </c>
      <c r="I8" s="0" t="s">
        <v>382</v>
      </c>
      <c r="J8" s="0"/>
      <c r="K8" s="0"/>
      <c r="L8" s="0"/>
      <c r="M8" s="0"/>
      <c r="N8" s="0"/>
      <c r="O8" s="0"/>
      <c r="P8" s="11" t="n">
        <v>45685</v>
      </c>
      <c r="Q8" s="6" t="n">
        <v>-1000</v>
      </c>
      <c r="R8" s="0" t="s">
        <v>668</v>
      </c>
      <c r="S8" s="11" t="n">
        <v>45432</v>
      </c>
      <c r="T8" s="6" t="n">
        <v>-64.82</v>
      </c>
      <c r="U8" s="0" t="s">
        <v>438</v>
      </c>
      <c r="V8" s="0"/>
      <c r="W8" s="0"/>
      <c r="X8" s="0"/>
      <c r="Y8" s="0"/>
      <c r="Z8" s="0"/>
      <c r="AA8" s="0"/>
      <c r="AB8" s="11" t="n">
        <v>45376</v>
      </c>
      <c r="AC8" s="6" t="n">
        <v>-75</v>
      </c>
      <c r="AD8" s="0" t="s">
        <v>444</v>
      </c>
    </row>
    <row collapsed="false" customFormat="false" customHeight="false" hidden="false" ht="12.1" outlineLevel="0" r="9">
      <c r="A9" s="11" t="n">
        <v>45315</v>
      </c>
      <c r="B9" s="6" t="n">
        <v>-36.81</v>
      </c>
      <c r="C9" s="0" t="s">
        <v>487</v>
      </c>
      <c r="D9" s="11" t="n">
        <v>45777</v>
      </c>
      <c r="E9" s="6" t="n">
        <v>-1000</v>
      </c>
      <c r="F9" s="0" t="s">
        <v>721</v>
      </c>
      <c r="G9" s="11" t="n">
        <v>45161</v>
      </c>
      <c r="H9" s="6" t="n">
        <v>-10.72</v>
      </c>
      <c r="I9" s="0" t="s">
        <v>382</v>
      </c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11" t="n">
        <v>45431</v>
      </c>
      <c r="T9" s="6" t="n">
        <v>-300</v>
      </c>
      <c r="U9" s="0" t="s">
        <v>530</v>
      </c>
      <c r="V9" s="0"/>
      <c r="W9" s="0"/>
      <c r="X9" s="0"/>
      <c r="Y9" s="0"/>
      <c r="Z9" s="0"/>
      <c r="AA9" s="0"/>
      <c r="AB9" s="11" t="n">
        <v>45468</v>
      </c>
      <c r="AC9" s="6" t="n">
        <v>-15.71</v>
      </c>
      <c r="AD9" s="0" t="s">
        <v>553</v>
      </c>
    </row>
    <row collapsed="false" customFormat="false" customHeight="false" hidden="false" ht="12.1" outlineLevel="0" r="10">
      <c r="A10" s="11" t="n">
        <v>45406</v>
      </c>
      <c r="B10" s="6" t="n">
        <v>-39.13</v>
      </c>
      <c r="C10" s="0" t="s">
        <v>522</v>
      </c>
      <c r="D10" s="0"/>
      <c r="E10" s="10" t="s">
        <f>=XIRR(E2:E9,D2:D9)</f>
      </c>
      <c r="F10" s="0"/>
      <c r="G10" s="11" t="n">
        <v>45252</v>
      </c>
      <c r="H10" s="6" t="n">
        <v>-10.72</v>
      </c>
      <c r="I10" s="0" t="s">
        <v>382</v>
      </c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759</v>
      </c>
      <c r="S10" s="11" t="n">
        <v>45523</v>
      </c>
      <c r="T10" s="6" t="n">
        <v>-55.1</v>
      </c>
      <c r="U10" s="0" t="s">
        <v>587</v>
      </c>
      <c r="V10" s="0"/>
      <c r="W10" s="0"/>
      <c r="X10" s="0"/>
      <c r="Y10" s="0"/>
      <c r="Z10" s="0"/>
      <c r="AA10" s="0"/>
      <c r="AB10" s="11" t="n">
        <v>45467</v>
      </c>
      <c r="AC10" s="6" t="n">
        <v>-150</v>
      </c>
      <c r="AD10" s="0" t="s">
        <v>551</v>
      </c>
    </row>
    <row collapsed="false" customFormat="false" customHeight="false" hidden="false" ht="12.1" outlineLevel="0" r="11">
      <c r="A11" s="11" t="n">
        <v>45405</v>
      </c>
      <c r="B11" s="6" t="n">
        <v>-1000</v>
      </c>
      <c r="C11" s="0" t="s">
        <v>521</v>
      </c>
      <c r="D11" s="0"/>
      <c r="E11" s="8" t="s">
        <f>=-SUM(E2:E9)</f>
      </c>
      <c r="F11" s="0" t="s">
        <v>759</v>
      </c>
      <c r="G11" s="11" t="n">
        <v>45251</v>
      </c>
      <c r="H11" s="6" t="n">
        <v>-250</v>
      </c>
      <c r="I11" s="0" t="s">
        <v>361</v>
      </c>
      <c r="J11" s="0"/>
      <c r="K11" s="0"/>
      <c r="L11" s="0"/>
      <c r="M11" s="0"/>
      <c r="N11" s="0"/>
      <c r="O11" s="0"/>
      <c r="P11" s="0"/>
      <c r="Q11" s="0"/>
      <c r="R11" s="0"/>
      <c r="S11" s="11" t="n">
        <v>45522</v>
      </c>
      <c r="T11" s="6" t="n">
        <v>-400</v>
      </c>
      <c r="U11" s="0" t="s">
        <v>586</v>
      </c>
      <c r="V11" s="0"/>
      <c r="W11" s="0"/>
      <c r="X11" s="0"/>
      <c r="Y11" s="0"/>
      <c r="Z11" s="0"/>
      <c r="AA11" s="0"/>
      <c r="AB11" s="11" t="n">
        <v>45559</v>
      </c>
      <c r="AC11" s="6" t="n">
        <v>-11.78</v>
      </c>
      <c r="AD11" s="0" t="s">
        <v>596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45343</v>
      </c>
      <c r="H12" s="6" t="n">
        <v>-5.36</v>
      </c>
      <c r="I12" s="0" t="s">
        <v>495</v>
      </c>
      <c r="J12" s="0"/>
      <c r="K12" s="0"/>
      <c r="L12" s="0"/>
      <c r="M12" s="0"/>
      <c r="N12" s="0"/>
      <c r="O12" s="0"/>
      <c r="P12" s="0"/>
      <c r="Q12" s="0"/>
      <c r="R12" s="0"/>
      <c r="S12" s="11" t="n">
        <v>45614</v>
      </c>
      <c r="T12" s="6" t="n">
        <v>-42.14</v>
      </c>
      <c r="U12" s="0" t="s">
        <v>628</v>
      </c>
      <c r="V12" s="0"/>
      <c r="W12" s="0"/>
      <c r="X12" s="0"/>
      <c r="Y12" s="0"/>
      <c r="Z12" s="0"/>
      <c r="AA12" s="0"/>
      <c r="AB12" s="11" t="n">
        <v>45558</v>
      </c>
      <c r="AC12" s="6" t="n">
        <v>-150</v>
      </c>
      <c r="AD12" s="0" t="s">
        <v>551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759</v>
      </c>
      <c r="D13" s="0"/>
      <c r="E13" s="0"/>
      <c r="F13" s="0"/>
      <c r="G13" s="11" t="n">
        <v>45434</v>
      </c>
      <c r="H13" s="6" t="n">
        <v>-5.36</v>
      </c>
      <c r="I13" s="0" t="s">
        <v>495</v>
      </c>
      <c r="J13" s="0"/>
      <c r="K13" s="0"/>
      <c r="L13" s="0"/>
      <c r="M13" s="0"/>
      <c r="N13" s="0"/>
      <c r="O13" s="0"/>
      <c r="P13" s="0"/>
      <c r="Q13" s="0"/>
      <c r="R13" s="0"/>
      <c r="S13" s="11" t="n">
        <v>45613</v>
      </c>
      <c r="T13" s="6" t="n">
        <v>-500</v>
      </c>
      <c r="U13" s="0" t="s">
        <v>627</v>
      </c>
      <c r="V13" s="0"/>
      <c r="W13" s="0"/>
      <c r="X13" s="0"/>
      <c r="Y13" s="0"/>
      <c r="Z13" s="0"/>
      <c r="AA13" s="0"/>
      <c r="AB13" s="11" t="n">
        <v>45650</v>
      </c>
      <c r="AC13" s="6" t="n">
        <v>-7.85</v>
      </c>
      <c r="AD13" s="0" t="s">
        <v>653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45525</v>
      </c>
      <c r="H14" s="6" t="n">
        <v>-5.36</v>
      </c>
      <c r="I14" s="0" t="s">
        <v>495</v>
      </c>
      <c r="J14" s="0"/>
      <c r="K14" s="0"/>
      <c r="L14" s="0"/>
      <c r="M14" s="0"/>
      <c r="N14" s="0"/>
      <c r="O14" s="0"/>
      <c r="P14" s="0"/>
      <c r="Q14" s="0"/>
      <c r="R14" s="0"/>
      <c r="S14" s="11" t="n">
        <v>45705</v>
      </c>
      <c r="T14" s="6" t="n">
        <v>-25.92</v>
      </c>
      <c r="U14" s="0" t="s">
        <v>677</v>
      </c>
      <c r="V14" s="0"/>
      <c r="W14" s="0"/>
      <c r="X14" s="0"/>
      <c r="Y14" s="0"/>
      <c r="Z14" s="0"/>
      <c r="AA14" s="0"/>
      <c r="AB14" s="11" t="n">
        <v>45649</v>
      </c>
      <c r="AC14" s="6" t="n">
        <v>-150</v>
      </c>
      <c r="AD14" s="0" t="s">
        <v>551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45524</v>
      </c>
      <c r="H15" s="6" t="n">
        <v>-250</v>
      </c>
      <c r="I15" s="0" t="s">
        <v>361</v>
      </c>
      <c r="J15" s="0"/>
      <c r="K15" s="0"/>
      <c r="L15" s="0"/>
      <c r="M15" s="0"/>
      <c r="N15" s="0"/>
      <c r="O15" s="0"/>
      <c r="P15" s="0"/>
      <c r="Q15" s="0"/>
      <c r="R15" s="0"/>
      <c r="S15" s="11" t="n">
        <v>45704</v>
      </c>
      <c r="T15" s="6" t="n">
        <v>-400</v>
      </c>
      <c r="U15" s="0" t="s">
        <v>586</v>
      </c>
      <c r="V15" s="0"/>
      <c r="W15" s="0"/>
      <c r="X15" s="0"/>
      <c r="Y15" s="0"/>
      <c r="Z15" s="0"/>
      <c r="AA15" s="0"/>
      <c r="AB15" s="11" t="n">
        <v>45741</v>
      </c>
      <c r="AC15" s="6" t="n">
        <v>-3.93</v>
      </c>
      <c r="AD15" s="0" t="s">
        <v>691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45796</v>
      </c>
      <c r="T16" s="6" t="n">
        <v>-12.96</v>
      </c>
      <c r="U16" s="0" t="s">
        <v>738</v>
      </c>
      <c r="V16" s="0"/>
      <c r="W16" s="0"/>
      <c r="X16" s="0"/>
      <c r="Y16" s="0"/>
      <c r="Z16" s="0"/>
      <c r="AA16" s="0"/>
      <c r="AB16" s="11" t="n">
        <v>45740</v>
      </c>
      <c r="AC16" s="6" t="n">
        <v>-150</v>
      </c>
      <c r="AD16" s="0" t="s">
        <v>551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759</v>
      </c>
      <c r="J17" s="0"/>
      <c r="K17" s="0"/>
      <c r="L17" s="0"/>
      <c r="M17" s="0"/>
      <c r="N17" s="0"/>
      <c r="O17" s="0"/>
      <c r="P17" s="0"/>
      <c r="Q17" s="0"/>
      <c r="R17" s="0"/>
      <c r="S17" s="11" t="n">
        <v>45795</v>
      </c>
      <c r="T17" s="6" t="n">
        <v>-400</v>
      </c>
      <c r="U17" s="0" t="s">
        <v>586</v>
      </c>
      <c r="V17" s="0"/>
      <c r="W17" s="0"/>
      <c r="X17" s="0"/>
      <c r="Y17" s="0"/>
      <c r="Z17" s="0"/>
      <c r="AA17" s="0"/>
      <c r="AB17" s="0"/>
      <c r="AC17" s="10" t="s">
        <f>=XIRR(AC2:AC16,AB2:AB16)</f>
      </c>
      <c r="AD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10" t="s">
        <f>=XIRR(T2:T17,S2:S17)</f>
      </c>
      <c r="U18" s="0"/>
      <c r="V18" s="0"/>
      <c r="W18" s="0"/>
      <c r="X18" s="0"/>
      <c r="Y18" s="0"/>
      <c r="Z18" s="0"/>
      <c r="AA18" s="0"/>
      <c r="AB18" s="0"/>
      <c r="AC18" s="8" t="s">
        <f>=-SUM(AC2:AC16)</f>
      </c>
      <c r="AD18" s="0" t="s">
        <v>759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8" t="s">
        <f>=-SUM(T2:T17)</f>
      </c>
      <c r="U19" s="0" t="s">
        <v>759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F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771</v>
      </c>
      <c r="C1" s="0"/>
      <c r="D1" s="0"/>
      <c r="E1" s="3" t="s">
        <v>772</v>
      </c>
      <c r="F1" s="0"/>
      <c r="G1" s="0"/>
      <c r="H1" s="3" t="s">
        <v>773</v>
      </c>
      <c r="I1" s="0"/>
      <c r="J1" s="0"/>
      <c r="K1" s="3" t="s">
        <v>774</v>
      </c>
      <c r="L1" s="0"/>
      <c r="M1" s="0"/>
      <c r="N1" s="3" t="s">
        <v>775</v>
      </c>
      <c r="O1" s="0"/>
      <c r="P1" s="0"/>
      <c r="Q1" s="3" t="s">
        <v>776</v>
      </c>
      <c r="R1" s="0"/>
      <c r="S1" s="0"/>
      <c r="T1" s="3" t="s">
        <v>777</v>
      </c>
      <c r="U1" s="0"/>
      <c r="V1" s="0"/>
      <c r="W1" s="3" t="s">
        <v>778</v>
      </c>
      <c r="X1" s="0"/>
      <c r="Y1" s="0"/>
      <c r="Z1" s="3" t="s">
        <v>779</v>
      </c>
      <c r="AA1" s="0"/>
      <c r="AB1" s="0"/>
      <c r="AC1" s="3" t="s">
        <v>780</v>
      </c>
      <c r="AD1" s="0"/>
      <c r="AE1" s="0"/>
      <c r="AF1" s="3" t="s">
        <v>781</v>
      </c>
      <c r="AG1" s="0"/>
      <c r="AH1" s="0"/>
      <c r="AI1" s="3" t="s">
        <v>782</v>
      </c>
      <c r="AJ1" s="0"/>
      <c r="AK1" s="0"/>
      <c r="AL1" s="3" t="s">
        <v>783</v>
      </c>
      <c r="AM1" s="0"/>
      <c r="AN1" s="0"/>
      <c r="AO1" s="3" t="s">
        <v>784</v>
      </c>
      <c r="AP1" s="0"/>
      <c r="AQ1" s="0"/>
      <c r="AR1" s="3" t="s">
        <v>785</v>
      </c>
      <c r="AS1" s="0"/>
      <c r="AT1" s="0"/>
      <c r="AU1" s="3" t="s">
        <v>786</v>
      </c>
      <c r="AV1" s="0"/>
      <c r="AW1" s="0"/>
      <c r="AX1" s="3" t="s">
        <v>787</v>
      </c>
      <c r="AY1" s="0"/>
      <c r="AZ1" s="0"/>
      <c r="BA1" s="3" t="s">
        <v>788</v>
      </c>
      <c r="BB1" s="0"/>
      <c r="BC1" s="0"/>
      <c r="BD1" s="3" t="s">
        <v>789</v>
      </c>
      <c r="BE1" s="0"/>
      <c r="BF1" s="0"/>
      <c r="BG1" s="3" t="s">
        <v>790</v>
      </c>
      <c r="BH1" s="0"/>
      <c r="BI1" s="0"/>
      <c r="BJ1" s="3" t="s">
        <v>791</v>
      </c>
      <c r="BK1" s="0"/>
      <c r="BL1" s="0"/>
      <c r="BM1" s="3" t="s">
        <v>792</v>
      </c>
      <c r="BN1" s="0"/>
      <c r="BO1" s="0"/>
      <c r="BP1" s="3" t="s">
        <v>793</v>
      </c>
      <c r="BQ1" s="0"/>
      <c r="BR1" s="0"/>
      <c r="BS1" s="3" t="s">
        <v>794</v>
      </c>
      <c r="BT1" s="0"/>
      <c r="BU1" s="0"/>
      <c r="BV1" s="3" t="s">
        <v>795</v>
      </c>
      <c r="BW1" s="0"/>
      <c r="BX1" s="0"/>
      <c r="BY1" s="3" t="s">
        <v>796</v>
      </c>
      <c r="BZ1" s="0"/>
      <c r="CA1" s="0"/>
      <c r="CB1" s="3" t="s">
        <v>797</v>
      </c>
      <c r="CC1" s="0"/>
      <c r="CD1" s="0"/>
      <c r="CE1" s="3" t="s">
        <v>798</v>
      </c>
      <c r="CF1" s="0"/>
      <c r="CG1" s="0"/>
      <c r="CH1" s="3" t="s">
        <v>799</v>
      </c>
      <c r="CI1" s="0"/>
      <c r="CJ1" s="0"/>
      <c r="CK1" s="3" t="s">
        <v>800</v>
      </c>
      <c r="CL1" s="0"/>
      <c r="CM1" s="0"/>
      <c r="CN1" s="3" t="s">
        <v>801</v>
      </c>
      <c r="CO1" s="0"/>
      <c r="CP1" s="0"/>
      <c r="CQ1" s="3" t="s">
        <v>802</v>
      </c>
      <c r="CR1" s="0"/>
      <c r="CS1" s="0"/>
      <c r="CT1" s="3" t="s">
        <v>803</v>
      </c>
      <c r="CU1" s="0"/>
      <c r="CV1" s="0"/>
      <c r="CW1" s="3" t="s">
        <v>804</v>
      </c>
      <c r="CX1" s="0"/>
      <c r="CY1" s="0"/>
      <c r="CZ1" s="3" t="s">
        <v>805</v>
      </c>
      <c r="DA1" s="0"/>
      <c r="DB1" s="0"/>
      <c r="DC1" s="3" t="s">
        <v>806</v>
      </c>
      <c r="DD1" s="0"/>
      <c r="DE1" s="0"/>
      <c r="DF1" s="3" t="s">
        <v>807</v>
      </c>
      <c r="DG1" s="0"/>
      <c r="DH1" s="0"/>
      <c r="DI1" s="3" t="s">
        <v>808</v>
      </c>
      <c r="DJ1" s="0"/>
      <c r="DK1" s="0"/>
      <c r="DL1" s="3" t="s">
        <v>809</v>
      </c>
      <c r="DM1" s="0"/>
      <c r="DN1" s="0"/>
      <c r="DO1" s="3" t="s">
        <v>810</v>
      </c>
      <c r="DP1" s="0"/>
      <c r="DQ1" s="0"/>
      <c r="DR1" s="3" t="s">
        <v>811</v>
      </c>
      <c r="DS1" s="0"/>
      <c r="DT1" s="0"/>
      <c r="DU1" s="3" t="s">
        <v>812</v>
      </c>
      <c r="DV1" s="0"/>
      <c r="DW1" s="0"/>
      <c r="DX1" s="3" t="s">
        <v>813</v>
      </c>
      <c r="DY1" s="0"/>
      <c r="DZ1" s="0"/>
      <c r="EA1" s="3" t="s">
        <v>814</v>
      </c>
      <c r="EB1" s="0"/>
      <c r="EC1" s="0"/>
      <c r="ED1" s="3" t="s">
        <v>815</v>
      </c>
      <c r="EE1" s="0"/>
      <c r="EF1" s="0"/>
      <c r="EG1" s="3" t="s">
        <v>816</v>
      </c>
      <c r="EH1" s="0"/>
      <c r="EI1" s="0"/>
      <c r="EJ1" s="3" t="s">
        <v>817</v>
      </c>
      <c r="EK1" s="0"/>
      <c r="EL1" s="0"/>
      <c r="EM1" s="3" t="s">
        <v>818</v>
      </c>
      <c r="EN1" s="0"/>
      <c r="EO1" s="0"/>
      <c r="EP1" s="3" t="s">
        <v>819</v>
      </c>
      <c r="EQ1" s="0"/>
      <c r="ER1" s="0"/>
      <c r="ES1" s="3" t="s">
        <v>820</v>
      </c>
      <c r="ET1" s="0"/>
      <c r="EU1" s="0"/>
      <c r="EV1" s="3" t="s">
        <v>821</v>
      </c>
      <c r="EW1" s="0"/>
      <c r="EX1" s="0"/>
      <c r="EY1" s="3" t="s">
        <v>822</v>
      </c>
      <c r="EZ1" s="0"/>
      <c r="FA1" s="0"/>
      <c r="FB1" s="3" t="s">
        <v>823</v>
      </c>
      <c r="FC1" s="0"/>
      <c r="FD1" s="0"/>
      <c r="FE1" s="3" t="s">
        <v>824</v>
      </c>
      <c r="FF1" s="0"/>
      <c r="FG1" s="0"/>
      <c r="FH1" s="3" t="s">
        <v>825</v>
      </c>
      <c r="FI1" s="0"/>
      <c r="FJ1" s="0"/>
      <c r="FK1" s="3" t="s">
        <v>826</v>
      </c>
      <c r="FL1" s="0"/>
      <c r="FM1" s="0"/>
      <c r="FN1" s="3" t="s">
        <v>827</v>
      </c>
      <c r="FO1" s="0"/>
      <c r="FP1" s="0"/>
      <c r="FQ1" s="3" t="s">
        <v>828</v>
      </c>
      <c r="FR1" s="0"/>
      <c r="FS1" s="0"/>
      <c r="FT1" s="3" t="s">
        <v>829</v>
      </c>
      <c r="FU1" s="0"/>
      <c r="FV1" s="0"/>
      <c r="FW1" s="3" t="s">
        <v>830</v>
      </c>
      <c r="FX1" s="0"/>
      <c r="FY1" s="0"/>
      <c r="FZ1" s="3" t="s">
        <v>831</v>
      </c>
      <c r="GA1" s="0"/>
      <c r="GB1" s="0"/>
      <c r="GC1" s="3" t="s">
        <v>832</v>
      </c>
      <c r="GD1" s="0"/>
      <c r="GE1" s="0"/>
      <c r="GF1" s="3" t="s">
        <v>833</v>
      </c>
      <c r="GG1" s="0"/>
      <c r="GH1" s="0"/>
      <c r="GI1" s="3" t="s">
        <v>834</v>
      </c>
      <c r="GJ1" s="0"/>
      <c r="GK1" s="0"/>
      <c r="GL1" s="3" t="s">
        <v>835</v>
      </c>
      <c r="GM1" s="0"/>
      <c r="GN1" s="0"/>
      <c r="GO1" s="3" t="s">
        <v>836</v>
      </c>
      <c r="GP1" s="0"/>
      <c r="GQ1" s="0"/>
      <c r="GR1" s="3" t="s">
        <v>837</v>
      </c>
      <c r="GS1" s="0"/>
      <c r="GT1" s="0"/>
      <c r="GU1" s="3" t="s">
        <v>838</v>
      </c>
      <c r="GV1" s="0"/>
      <c r="GW1" s="0"/>
      <c r="GX1" s="3" t="s">
        <v>839</v>
      </c>
      <c r="GY1" s="0"/>
      <c r="GZ1" s="0"/>
      <c r="HA1" s="3" t="s">
        <v>840</v>
      </c>
      <c r="HB1" s="0"/>
      <c r="HC1" s="0"/>
      <c r="HD1" s="3" t="s">
        <v>841</v>
      </c>
      <c r="HE1" s="0"/>
      <c r="HF1" s="0"/>
      <c r="HG1" s="3" t="s">
        <v>842</v>
      </c>
      <c r="HH1" s="0"/>
      <c r="HI1" s="0"/>
      <c r="HJ1" s="3" t="s">
        <v>843</v>
      </c>
      <c r="HK1" s="0"/>
      <c r="HL1" s="0"/>
      <c r="HM1" s="3" t="s">
        <v>844</v>
      </c>
      <c r="HN1" s="0"/>
      <c r="HO1" s="0"/>
      <c r="HP1" s="3" t="s">
        <v>845</v>
      </c>
      <c r="HQ1" s="0"/>
      <c r="HR1" s="0"/>
      <c r="HS1" s="3" t="s">
        <v>846</v>
      </c>
      <c r="HT1" s="0"/>
      <c r="HU1" s="0"/>
      <c r="HV1" s="3" t="s">
        <v>847</v>
      </c>
      <c r="HW1" s="0"/>
      <c r="HX1" s="0"/>
      <c r="HY1" s="3" t="s">
        <v>848</v>
      </c>
      <c r="HZ1" s="0"/>
      <c r="IA1" s="0"/>
      <c r="IB1" s="3" t="s">
        <v>849</v>
      </c>
      <c r="IC1" s="0"/>
      <c r="ID1" s="0"/>
      <c r="IE1" s="3" t="s">
        <v>850</v>
      </c>
      <c r="IF1" s="0"/>
      <c r="IG1" s="0"/>
      <c r="IH1" s="3" t="s">
        <v>851</v>
      </c>
      <c r="II1" s="0"/>
      <c r="IJ1" s="0"/>
      <c r="IK1" s="3" t="s">
        <v>852</v>
      </c>
      <c r="IL1" s="0"/>
      <c r="IM1" s="0"/>
      <c r="IN1" s="3" t="s">
        <v>853</v>
      </c>
      <c r="IO1" s="0"/>
      <c r="IP1" s="0"/>
      <c r="IQ1" s="3" t="s">
        <v>854</v>
      </c>
      <c r="IR1" s="0"/>
      <c r="IS1" s="0"/>
      <c r="IT1" s="3" t="s">
        <v>855</v>
      </c>
      <c r="IU1" s="0"/>
      <c r="IV1" s="0"/>
      <c r="IW1" s="3" t="s">
        <v>856</v>
      </c>
      <c r="IX1" s="0"/>
      <c r="IY1" s="0"/>
      <c r="IZ1" s="3" t="s">
        <v>857</v>
      </c>
      <c r="JA1" s="0"/>
      <c r="JB1" s="0"/>
      <c r="JC1" s="3" t="s">
        <v>858</v>
      </c>
      <c r="JD1" s="0"/>
      <c r="JE1" s="0"/>
      <c r="JF1" s="3" t="s">
        <v>859</v>
      </c>
      <c r="JG1" s="0"/>
      <c r="JH1" s="0"/>
      <c r="JI1" s="3" t="s">
        <v>860</v>
      </c>
      <c r="JJ1" s="0"/>
      <c r="JK1" s="0"/>
      <c r="JL1" s="3" t="s">
        <v>861</v>
      </c>
      <c r="JM1" s="0"/>
      <c r="JN1" s="0"/>
      <c r="JO1" s="3" t="s">
        <v>862</v>
      </c>
      <c r="JP1" s="0"/>
      <c r="JQ1" s="0"/>
      <c r="JR1" s="3" t="s">
        <v>863</v>
      </c>
      <c r="JS1" s="0"/>
      <c r="JT1" s="0"/>
      <c r="JU1" s="3" t="s">
        <v>864</v>
      </c>
      <c r="JV1" s="0"/>
      <c r="JW1" s="0"/>
      <c r="JX1" s="3" t="s">
        <v>865</v>
      </c>
      <c r="JY1" s="0"/>
      <c r="JZ1" s="0"/>
      <c r="KA1" s="3" t="s">
        <v>866</v>
      </c>
      <c r="KB1" s="0"/>
      <c r="KC1" s="0"/>
      <c r="KD1" s="3" t="s">
        <v>867</v>
      </c>
      <c r="KE1" s="0"/>
      <c r="KF1" s="0"/>
      <c r="KG1" s="3" t="s">
        <v>868</v>
      </c>
      <c r="KH1" s="0"/>
      <c r="KI1" s="0"/>
      <c r="KJ1" s="3" t="s">
        <v>869</v>
      </c>
      <c r="KK1" s="0"/>
      <c r="KL1" s="0"/>
      <c r="KM1" s="3" t="s">
        <v>870</v>
      </c>
      <c r="KN1" s="0"/>
      <c r="KO1" s="0"/>
      <c r="KP1" s="3" t="s">
        <v>871</v>
      </c>
      <c r="KQ1" s="0"/>
      <c r="KR1" s="0"/>
      <c r="KS1" s="3" t="s">
        <v>872</v>
      </c>
      <c r="KT1" s="0"/>
      <c r="KU1" s="0"/>
      <c r="KV1" s="3" t="s">
        <v>873</v>
      </c>
      <c r="KW1" s="0"/>
      <c r="KX1" s="0"/>
      <c r="KY1" s="3" t="s">
        <v>874</v>
      </c>
      <c r="KZ1" s="0"/>
      <c r="LA1" s="0"/>
      <c r="LB1" s="3" t="s">
        <v>875</v>
      </c>
      <c r="LC1" s="0"/>
      <c r="LD1" s="0"/>
      <c r="LE1" s="3" t="s">
        <v>876</v>
      </c>
      <c r="LF1" s="0"/>
    </row>
    <row collapsed="false" customFormat="false" customHeight="false" hidden="false" ht="12.1" outlineLevel="0" r="2">
      <c r="A2" s="11" t="n">
        <v>44910</v>
      </c>
      <c r="B2" s="6" t="n">
        <v>10</v>
      </c>
      <c r="C2" s="6" t="n">
        <v>1362.07</v>
      </c>
      <c r="D2" s="11" t="n">
        <v>45639</v>
      </c>
      <c r="E2" s="6" t="n">
        <v>1</v>
      </c>
      <c r="F2" s="6" t="n">
        <v>2295.87</v>
      </c>
      <c r="G2" s="11" t="n">
        <v>45001</v>
      </c>
      <c r="H2" s="6" t="n">
        <v>10</v>
      </c>
      <c r="I2" s="6" t="n">
        <v>9215.06</v>
      </c>
      <c r="J2" s="11" t="n">
        <v>44929</v>
      </c>
      <c r="K2" s="6" t="n">
        <v>10</v>
      </c>
      <c r="L2" s="6" t="n">
        <v>1419.65</v>
      </c>
      <c r="M2" s="11" t="n">
        <v>44769</v>
      </c>
      <c r="N2" s="6" t="n">
        <v>10</v>
      </c>
      <c r="O2" s="6" t="n">
        <v>1976.51</v>
      </c>
      <c r="P2" s="11" t="n">
        <v>44769</v>
      </c>
      <c r="Q2" s="6" t="n">
        <v>1</v>
      </c>
      <c r="R2" s="6" t="n">
        <v>394.48</v>
      </c>
      <c r="S2" s="11" t="n">
        <v>44761</v>
      </c>
      <c r="T2" s="6" t="n">
        <v>1</v>
      </c>
      <c r="U2" s="6" t="n">
        <v>753.75</v>
      </c>
      <c r="V2" s="11" t="n">
        <v>44984</v>
      </c>
      <c r="W2" s="6" t="n">
        <v>10</v>
      </c>
      <c r="X2" s="6" t="n">
        <v>1161.47</v>
      </c>
      <c r="Y2" s="11" t="n">
        <v>45085</v>
      </c>
      <c r="Z2" s="6" t="n">
        <v>100</v>
      </c>
      <c r="AA2" s="6" t="n">
        <v>3342</v>
      </c>
      <c r="AB2" s="11" t="n">
        <v>44769</v>
      </c>
      <c r="AC2" s="6" t="n">
        <v>100</v>
      </c>
      <c r="AD2" s="6" t="n">
        <v>331.59</v>
      </c>
      <c r="AE2" s="11" t="n">
        <v>44748</v>
      </c>
      <c r="AF2" s="6" t="n">
        <v>2</v>
      </c>
      <c r="AG2" s="6" t="n">
        <v>189.82</v>
      </c>
      <c r="AH2" s="11" t="n">
        <v>45198</v>
      </c>
      <c r="AI2" s="6" t="n">
        <v>10</v>
      </c>
      <c r="AJ2" s="6" t="n">
        <v>2761.76</v>
      </c>
      <c r="AK2" s="11" t="n">
        <v>44984</v>
      </c>
      <c r="AL2" s="6" t="n">
        <v>10</v>
      </c>
      <c r="AM2" s="6" t="n">
        <v>283.25</v>
      </c>
      <c r="AN2" s="11" t="n">
        <v>45639</v>
      </c>
      <c r="AO2" s="6" t="n">
        <v>10</v>
      </c>
      <c r="AP2" s="6" t="n">
        <v>3070.28</v>
      </c>
      <c r="AQ2" s="11" t="n">
        <v>44929</v>
      </c>
      <c r="AR2" s="6" t="n">
        <v>100</v>
      </c>
      <c r="AS2" s="6" t="n">
        <v>1208.31</v>
      </c>
      <c r="AT2" s="11" t="n">
        <v>45035</v>
      </c>
      <c r="AU2" s="6" t="n">
        <v>10</v>
      </c>
      <c r="AV2" s="6" t="n">
        <v>638.11</v>
      </c>
      <c r="AW2" s="11" t="n">
        <v>45597</v>
      </c>
      <c r="AX2" s="6" t="n">
        <v>10</v>
      </c>
      <c r="AY2" s="6" t="n">
        <v>2846.51</v>
      </c>
      <c r="AZ2" s="11" t="n">
        <v>44858</v>
      </c>
      <c r="BA2" s="6" t="n">
        <v>100</v>
      </c>
      <c r="BB2" s="6" t="n">
        <v>626.47</v>
      </c>
      <c r="BC2" s="11" t="n">
        <v>44999</v>
      </c>
      <c r="BD2" s="6" t="n">
        <v>100</v>
      </c>
      <c r="BE2" s="6" t="n">
        <v>2232.68</v>
      </c>
      <c r="BF2" s="11" t="n">
        <v>45471</v>
      </c>
      <c r="BG2" s="6" t="n">
        <v>1000</v>
      </c>
      <c r="BH2" s="6" t="n">
        <v>3138.89</v>
      </c>
      <c r="BI2" s="11" t="n">
        <v>45418</v>
      </c>
      <c r="BJ2" s="6" t="n">
        <v>10</v>
      </c>
      <c r="BK2" s="6" t="n">
        <v>1541.21</v>
      </c>
      <c r="BL2" s="11" t="n">
        <v>45324</v>
      </c>
      <c r="BM2" s="6" t="n">
        <v>10</v>
      </c>
      <c r="BN2" s="6" t="n">
        <v>1421.15</v>
      </c>
      <c r="BO2" s="11" t="n">
        <v>45244</v>
      </c>
      <c r="BP2" s="6" t="n">
        <v>1000</v>
      </c>
      <c r="BQ2" s="6" t="n">
        <v>2237.69</v>
      </c>
      <c r="BR2" s="11" t="n">
        <v>45104</v>
      </c>
      <c r="BS2" s="6" t="n">
        <v>10000</v>
      </c>
      <c r="BT2" s="6" t="n">
        <v>1004</v>
      </c>
      <c r="BU2" s="11" t="n">
        <v>45729</v>
      </c>
      <c r="BV2" s="6" t="n">
        <v>10</v>
      </c>
      <c r="BW2" s="6" t="n">
        <v>1554.05</v>
      </c>
      <c r="BX2" s="11" t="n">
        <v>44742</v>
      </c>
      <c r="BY2" s="6" t="n">
        <v>1</v>
      </c>
      <c r="BZ2" s="6" t="n">
        <v>1031.08</v>
      </c>
      <c r="CA2" s="11" t="n">
        <v>44699</v>
      </c>
      <c r="CB2" s="6" t="n">
        <v>10</v>
      </c>
      <c r="CC2" s="6" t="n">
        <v>454.56</v>
      </c>
      <c r="CD2" s="11" t="n">
        <v>44858</v>
      </c>
      <c r="CE2" s="6" t="n">
        <v>1000</v>
      </c>
      <c r="CF2" s="6" t="n">
        <v>745.73</v>
      </c>
      <c r="CG2" s="11" t="n">
        <v>45471</v>
      </c>
      <c r="CH2" s="6" t="n">
        <v>10</v>
      </c>
      <c r="CI2" s="6" t="n">
        <v>421.81</v>
      </c>
      <c r="CJ2" s="11" t="n">
        <v>45471</v>
      </c>
      <c r="CK2" s="6" t="n">
        <v>10</v>
      </c>
      <c r="CL2" s="6" t="n">
        <v>707.22</v>
      </c>
      <c r="CM2" s="11" t="n">
        <v>44708</v>
      </c>
      <c r="CN2" s="6" t="n">
        <v>1</v>
      </c>
      <c r="CO2" s="6" t="n">
        <v>786.84</v>
      </c>
      <c r="CP2" s="11" t="n">
        <v>44739</v>
      </c>
      <c r="CQ2" s="6" t="n">
        <v>1</v>
      </c>
      <c r="CR2" s="6" t="n">
        <v>1107.71</v>
      </c>
      <c r="CS2" s="11" t="n">
        <v>44903</v>
      </c>
      <c r="CT2" s="6" t="n">
        <v>1</v>
      </c>
      <c r="CU2" s="6" t="n">
        <v>766.25</v>
      </c>
      <c r="CV2" s="11" t="n">
        <v>44708</v>
      </c>
      <c r="CW2" s="6" t="n">
        <v>1</v>
      </c>
      <c r="CX2" s="6" t="n">
        <v>1064.65</v>
      </c>
      <c r="CY2" s="11" t="n">
        <v>44903</v>
      </c>
      <c r="CZ2" s="6" t="n">
        <v>1</v>
      </c>
      <c r="DA2" s="6" t="n">
        <v>808.71</v>
      </c>
      <c r="DB2" s="11" t="n">
        <v>44868</v>
      </c>
      <c r="DC2" s="6" t="n">
        <v>1</v>
      </c>
      <c r="DD2" s="6" t="n">
        <v>831.71</v>
      </c>
      <c r="DE2" s="11" t="n">
        <v>45061</v>
      </c>
      <c r="DF2" s="6" t="n">
        <v>1</v>
      </c>
      <c r="DG2" s="6" t="n">
        <v>897.96</v>
      </c>
      <c r="DH2" s="11" t="n">
        <v>44699</v>
      </c>
      <c r="DI2" s="6" t="n">
        <v>1</v>
      </c>
      <c r="DJ2" s="6" t="n">
        <v>769.66</v>
      </c>
      <c r="DK2" s="11" t="n">
        <v>45147</v>
      </c>
      <c r="DL2" s="6" t="n">
        <v>3</v>
      </c>
      <c r="DM2" s="6" t="n">
        <v>2817.63</v>
      </c>
      <c r="DN2" s="11" t="n">
        <v>45303</v>
      </c>
      <c r="DO2" s="6" t="n">
        <v>2</v>
      </c>
      <c r="DP2" s="6" t="n">
        <v>1773.59</v>
      </c>
      <c r="DQ2" s="11" t="n">
        <v>45351</v>
      </c>
      <c r="DR2" s="6" t="n">
        <v>1</v>
      </c>
      <c r="DS2" s="6" t="n">
        <v>865.68</v>
      </c>
      <c r="DT2" s="11" t="n">
        <v>45566</v>
      </c>
      <c r="DU2" s="6" t="n">
        <v>1</v>
      </c>
      <c r="DV2" s="6" t="n">
        <v>834.85</v>
      </c>
      <c r="DW2" s="11" t="n">
        <v>44868</v>
      </c>
      <c r="DX2" s="6" t="n">
        <v>1</v>
      </c>
      <c r="DY2" s="6" t="n">
        <v>870.54</v>
      </c>
      <c r="DZ2" s="11" t="n">
        <v>44708</v>
      </c>
      <c r="EA2" s="6" t="n">
        <v>1</v>
      </c>
      <c r="EB2" s="6" t="n">
        <v>858.05</v>
      </c>
      <c r="EC2" s="11" t="n">
        <v>45303</v>
      </c>
      <c r="ED2" s="6" t="n">
        <v>2</v>
      </c>
      <c r="EE2" s="6" t="n">
        <v>1984.34</v>
      </c>
      <c r="EF2" s="11" t="n">
        <v>44903</v>
      </c>
      <c r="EG2" s="6" t="n">
        <v>1</v>
      </c>
      <c r="EH2" s="6" t="n">
        <v>1060.71</v>
      </c>
      <c r="EI2" s="11" t="n">
        <v>45702</v>
      </c>
      <c r="EJ2" s="6" t="n">
        <v>1</v>
      </c>
      <c r="EK2" s="6" t="n">
        <v>886.71</v>
      </c>
      <c r="EL2" s="11" t="n">
        <v>45566</v>
      </c>
      <c r="EM2" s="6" t="n">
        <v>1</v>
      </c>
      <c r="EN2" s="6" t="n">
        <v>836.65</v>
      </c>
      <c r="EO2" s="11" t="n">
        <v>45026</v>
      </c>
      <c r="EP2" s="6" t="n">
        <v>1</v>
      </c>
      <c r="EQ2" s="6" t="n">
        <v>1027.73</v>
      </c>
      <c r="ER2" s="11" t="n">
        <v>45009</v>
      </c>
      <c r="ES2" s="6" t="n">
        <v>1</v>
      </c>
      <c r="ET2" s="6" t="n">
        <v>1151.69</v>
      </c>
      <c r="EU2" s="11" t="n">
        <v>45702</v>
      </c>
      <c r="EV2" s="6" t="n">
        <v>1</v>
      </c>
      <c r="EW2" s="6" t="n">
        <v>887.6</v>
      </c>
      <c r="EX2" s="11" t="n">
        <v>45356</v>
      </c>
      <c r="EY2" s="6" t="n">
        <v>1</v>
      </c>
      <c r="EZ2" s="6" t="n">
        <v>878.2</v>
      </c>
      <c r="FA2" s="11" t="n">
        <v>45447</v>
      </c>
      <c r="FB2" s="6" t="n">
        <v>1</v>
      </c>
      <c r="FC2" s="6" t="n">
        <v>692.44</v>
      </c>
      <c r="FD2" s="11" t="n">
        <v>45670</v>
      </c>
      <c r="FE2" s="6" t="n">
        <v>1</v>
      </c>
      <c r="FF2" s="6" t="n">
        <v>829.97</v>
      </c>
      <c r="FG2" s="11" t="n">
        <v>45541</v>
      </c>
      <c r="FH2" s="6" t="n">
        <v>1</v>
      </c>
      <c r="FI2" s="6" t="n">
        <v>841.44</v>
      </c>
      <c r="FJ2" s="11" t="n">
        <v>45471</v>
      </c>
      <c r="FK2" s="6" t="n">
        <v>2</v>
      </c>
      <c r="FL2" s="6" t="n">
        <v>2548.19</v>
      </c>
      <c r="FM2" s="11" t="n">
        <v>45541</v>
      </c>
      <c r="FN2" s="6" t="n">
        <v>1</v>
      </c>
      <c r="FO2" s="6" t="n">
        <v>806.56</v>
      </c>
      <c r="FP2" s="11" t="n">
        <v>45155</v>
      </c>
      <c r="FQ2" s="6" t="n">
        <v>2</v>
      </c>
      <c r="FR2" s="6" t="n">
        <v>1815.81</v>
      </c>
      <c r="FS2" s="11" t="n">
        <v>45471</v>
      </c>
      <c r="FT2" s="6" t="n">
        <v>1</v>
      </c>
      <c r="FU2" s="6" t="n">
        <v>1016.68</v>
      </c>
      <c r="FV2" s="11" t="n">
        <v>45147</v>
      </c>
      <c r="FW2" s="6" t="n">
        <v>2</v>
      </c>
      <c r="FX2" s="6" t="n">
        <v>2031</v>
      </c>
      <c r="FY2" s="11" t="n">
        <v>45082</v>
      </c>
      <c r="FZ2" s="6" t="n">
        <v>1</v>
      </c>
      <c r="GA2" s="6" t="n">
        <v>955.14</v>
      </c>
      <c r="GB2" s="11" t="n">
        <v>45471</v>
      </c>
      <c r="GC2" s="6" t="n">
        <v>1</v>
      </c>
      <c r="GD2" s="6" t="n">
        <v>893.98</v>
      </c>
      <c r="GE2" s="11" t="n">
        <v>45356</v>
      </c>
      <c r="GF2" s="6" t="n">
        <v>1</v>
      </c>
      <c r="GG2" s="6" t="n">
        <v>865.03</v>
      </c>
      <c r="GH2" s="11" t="n">
        <v>45670</v>
      </c>
      <c r="GI2" s="6" t="n">
        <v>1</v>
      </c>
      <c r="GJ2" s="6" t="n">
        <v>869.81</v>
      </c>
      <c r="GK2" s="11" t="n">
        <v>45670</v>
      </c>
      <c r="GL2" s="6" t="n">
        <v>1</v>
      </c>
      <c r="GM2" s="6" t="n">
        <v>859.96</v>
      </c>
      <c r="GN2" s="11" t="n">
        <v>45541</v>
      </c>
      <c r="GO2" s="6" t="n">
        <v>1</v>
      </c>
      <c r="GP2" s="6" t="n">
        <v>817.83</v>
      </c>
      <c r="GQ2" s="11" t="n">
        <v>45670</v>
      </c>
      <c r="GR2" s="6" t="n">
        <v>1</v>
      </c>
      <c r="GS2" s="6" t="n">
        <v>799.74</v>
      </c>
      <c r="GT2" s="11" t="n">
        <v>45729</v>
      </c>
      <c r="GU2" s="6" t="n">
        <v>1</v>
      </c>
      <c r="GV2" s="6" t="n">
        <v>783.05</v>
      </c>
      <c r="GW2" s="11" t="n">
        <v>45670</v>
      </c>
      <c r="GX2" s="6" t="n">
        <v>1</v>
      </c>
      <c r="GY2" s="6" t="n">
        <v>708.87</v>
      </c>
      <c r="GZ2" s="11" t="n">
        <v>45267</v>
      </c>
      <c r="HA2" s="6" t="n">
        <v>2</v>
      </c>
      <c r="HB2" s="6" t="n">
        <v>1813.07</v>
      </c>
      <c r="HC2" s="11" t="n">
        <v>45776</v>
      </c>
      <c r="HD2" s="6" t="n">
        <v>1</v>
      </c>
      <c r="HE2" s="6" t="n">
        <v>1032.56</v>
      </c>
      <c r="HF2" s="11" t="n">
        <v>45729</v>
      </c>
      <c r="HG2" s="6" t="n">
        <v>1</v>
      </c>
      <c r="HH2" s="6" t="n">
        <v>1102.66</v>
      </c>
      <c r="HI2" s="11" t="n">
        <v>45776</v>
      </c>
      <c r="HJ2" s="6" t="n">
        <v>1</v>
      </c>
      <c r="HK2" s="6" t="n">
        <v>1045.7</v>
      </c>
      <c r="HL2" s="11" t="n">
        <v>44903</v>
      </c>
      <c r="HM2" s="6" t="n">
        <v>1</v>
      </c>
      <c r="HN2" s="6" t="n">
        <v>1068.61</v>
      </c>
      <c r="HO2" s="11" t="n">
        <v>45751</v>
      </c>
      <c r="HP2" s="6" t="n">
        <v>1</v>
      </c>
      <c r="HQ2" s="6" t="n">
        <v>981.05</v>
      </c>
      <c r="HR2" s="11" t="n">
        <v>45776</v>
      </c>
      <c r="HS2" s="6" t="n">
        <v>1</v>
      </c>
      <c r="HT2" s="6" t="n">
        <v>1022.21</v>
      </c>
      <c r="HU2" s="11" t="n">
        <v>45356</v>
      </c>
      <c r="HV2" s="6" t="n">
        <v>1</v>
      </c>
      <c r="HW2" s="6" t="n">
        <v>1022.03</v>
      </c>
      <c r="HX2" s="11" t="n">
        <v>45147</v>
      </c>
      <c r="HY2" s="6" t="n">
        <v>1</v>
      </c>
      <c r="HZ2" s="6" t="n">
        <v>1013.35</v>
      </c>
      <c r="IA2" s="11" t="n">
        <v>45541</v>
      </c>
      <c r="IB2" s="6" t="n">
        <v>1</v>
      </c>
      <c r="IC2" s="6" t="n">
        <v>912.58</v>
      </c>
      <c r="ID2" s="11" t="n">
        <v>45751</v>
      </c>
      <c r="IE2" s="6" t="n">
        <v>1</v>
      </c>
      <c r="IF2" s="6" t="n">
        <v>957.5</v>
      </c>
      <c r="IG2" s="11" t="n">
        <v>45219</v>
      </c>
      <c r="IH2" s="6" t="n">
        <v>1</v>
      </c>
      <c r="II2" s="6" t="n">
        <v>995.2</v>
      </c>
      <c r="IJ2" s="11" t="n">
        <v>45082</v>
      </c>
      <c r="IK2" s="6" t="n">
        <v>1</v>
      </c>
      <c r="IL2" s="6" t="n">
        <v>1033.91</v>
      </c>
      <c r="IM2" s="11" t="n">
        <v>44867</v>
      </c>
      <c r="IN2" s="6" t="n">
        <v>1</v>
      </c>
      <c r="IO2" s="6" t="n">
        <v>1069.62</v>
      </c>
      <c r="IP2" s="11" t="n">
        <v>45082</v>
      </c>
      <c r="IQ2" s="6" t="n">
        <v>1</v>
      </c>
      <c r="IR2" s="6" t="n">
        <v>1027.77</v>
      </c>
      <c r="IS2" s="11" t="n">
        <v>45729</v>
      </c>
      <c r="IT2" s="6" t="n">
        <v>1</v>
      </c>
      <c r="IU2" s="6" t="n">
        <v>861.06</v>
      </c>
      <c r="IV2" s="11" t="n">
        <v>45541</v>
      </c>
      <c r="IW2" s="6" t="n">
        <v>1</v>
      </c>
      <c r="IX2" s="6" t="n">
        <v>860.66</v>
      </c>
      <c r="IY2" s="11" t="n">
        <v>45541</v>
      </c>
      <c r="IZ2" s="6" t="n">
        <v>1</v>
      </c>
      <c r="JA2" s="6" t="n">
        <v>842.03</v>
      </c>
      <c r="JB2" s="11" t="n">
        <v>45729</v>
      </c>
      <c r="JC2" s="6" t="n">
        <v>1</v>
      </c>
      <c r="JD2" s="6" t="n">
        <v>916.86</v>
      </c>
      <c r="JE2" s="11" t="n">
        <v>45082</v>
      </c>
      <c r="JF2" s="6" t="n">
        <v>1</v>
      </c>
      <c r="JG2" s="6" t="n">
        <v>988.22</v>
      </c>
      <c r="JH2" s="11" t="n">
        <v>45670</v>
      </c>
      <c r="JI2" s="6" t="n">
        <v>1</v>
      </c>
      <c r="JJ2" s="6" t="n">
        <v>944.09</v>
      </c>
      <c r="JK2" s="11" t="n">
        <v>44866</v>
      </c>
      <c r="JL2" s="6" t="n">
        <v>1</v>
      </c>
      <c r="JM2" s="6" t="n">
        <v>1028.46</v>
      </c>
      <c r="JN2" s="11" t="n">
        <v>44862</v>
      </c>
      <c r="JO2" s="6" t="n">
        <v>1</v>
      </c>
      <c r="JP2" s="6" t="n">
        <v>957.61</v>
      </c>
      <c r="JQ2" s="11" t="n">
        <v>45729</v>
      </c>
      <c r="JR2" s="6" t="n">
        <v>1</v>
      </c>
      <c r="JS2" s="6" t="n">
        <v>894.46</v>
      </c>
      <c r="JT2" s="11" t="n">
        <v>45541</v>
      </c>
      <c r="JU2" s="6" t="n">
        <v>1</v>
      </c>
      <c r="JV2" s="6" t="n">
        <v>878.93</v>
      </c>
      <c r="JW2" s="11" t="n">
        <v>45082</v>
      </c>
      <c r="JX2" s="6" t="n">
        <v>1</v>
      </c>
      <c r="JY2" s="6" t="n">
        <v>901.24</v>
      </c>
      <c r="JZ2" s="11" t="n">
        <v>44929</v>
      </c>
      <c r="KA2" s="6" t="n">
        <v>1</v>
      </c>
      <c r="KB2" s="6" t="n">
        <v>1028.37</v>
      </c>
      <c r="KC2" s="11" t="n">
        <v>45541</v>
      </c>
      <c r="KD2" s="6" t="n">
        <v>1</v>
      </c>
      <c r="KE2" s="6" t="n">
        <v>823.95</v>
      </c>
      <c r="KF2" s="11" t="n">
        <v>45541</v>
      </c>
      <c r="KG2" s="6" t="n">
        <v>1</v>
      </c>
      <c r="KH2" s="6" t="n">
        <v>798.02</v>
      </c>
      <c r="KI2" s="11" t="n">
        <v>45776</v>
      </c>
      <c r="KJ2" s="6" t="n">
        <v>1</v>
      </c>
      <c r="KK2" s="6" t="n">
        <v>831.81</v>
      </c>
      <c r="KL2" s="11" t="n">
        <v>45541</v>
      </c>
      <c r="KM2" s="6" t="n">
        <v>1</v>
      </c>
      <c r="KN2" s="6" t="n">
        <v>737.17</v>
      </c>
      <c r="KO2" s="11" t="n">
        <v>44860</v>
      </c>
      <c r="KP2" s="6" t="n">
        <v>1</v>
      </c>
      <c r="KQ2" s="6" t="n">
        <v>913.22</v>
      </c>
      <c r="KR2" s="11" t="n">
        <v>45267</v>
      </c>
      <c r="KS2" s="6" t="n">
        <v>1</v>
      </c>
      <c r="KT2" s="6" t="n">
        <v>995.68</v>
      </c>
      <c r="KU2" s="11" t="n">
        <v>45026</v>
      </c>
      <c r="KV2" s="6" t="n">
        <v>1</v>
      </c>
      <c r="KW2" s="6" t="n">
        <v>566.27</v>
      </c>
      <c r="KX2" s="11" t="n">
        <v>45356</v>
      </c>
      <c r="KY2" s="6" t="n">
        <v>1</v>
      </c>
      <c r="KZ2" s="6" t="n">
        <v>264.52</v>
      </c>
      <c r="LA2" s="11" t="n">
        <v>45356</v>
      </c>
      <c r="LB2" s="6" t="n">
        <v>1</v>
      </c>
      <c r="LC2" s="6" t="n">
        <v>587.34</v>
      </c>
      <c r="LD2" s="11" t="n">
        <v>44694</v>
      </c>
      <c r="LE2" s="6" t="n">
        <v>1</v>
      </c>
      <c r="LF2" s="6" t="n">
        <v>842.45</v>
      </c>
    </row>
    <row collapsed="false" customFormat="false" customHeight="false" hidden="false" ht="12.1" outlineLevel="0" r="3">
      <c r="A3" s="11" t="n">
        <v>44950</v>
      </c>
      <c r="B3" s="6" t="n">
        <v>10</v>
      </c>
      <c r="C3" s="6" t="n">
        <v>1547.53</v>
      </c>
      <c r="D3" s="11" t="n">
        <v>45751</v>
      </c>
      <c r="E3" s="6" t="n">
        <v>3</v>
      </c>
      <c r="F3" s="6" t="n">
        <v>9666.11</v>
      </c>
      <c r="G3" s="0"/>
      <c r="H3" s="5" t="s">
        <f>=SUM(I2:I2)/SUM(H2:H2)</f>
      </c>
      <c r="I3" s="0" t="s">
        <v>11</v>
      </c>
      <c r="J3" s="11" t="n">
        <v>44984</v>
      </c>
      <c r="K3" s="6" t="n">
        <v>10</v>
      </c>
      <c r="L3" s="6" t="n">
        <v>1678.82</v>
      </c>
      <c r="M3" s="11" t="n">
        <v>45418</v>
      </c>
      <c r="N3" s="6" t="n">
        <v>10</v>
      </c>
      <c r="O3" s="6" t="n">
        <v>1559.06</v>
      </c>
      <c r="P3" s="11" t="n">
        <v>45597</v>
      </c>
      <c r="Q3" s="6" t="n">
        <v>1</v>
      </c>
      <c r="R3" s="6" t="n">
        <v>540.52</v>
      </c>
      <c r="S3" s="11" t="n">
        <v>45324</v>
      </c>
      <c r="T3" s="6" t="n">
        <v>1</v>
      </c>
      <c r="U3" s="6" t="n">
        <v>728.28</v>
      </c>
      <c r="V3" s="11" t="n">
        <v>45506</v>
      </c>
      <c r="W3" s="6" t="n">
        <v>10</v>
      </c>
      <c r="X3" s="6" t="n">
        <v>2293.66</v>
      </c>
      <c r="Y3" s="0"/>
      <c r="Z3" s="5" t="s">
        <f>=SUM(AA2:AA2)/SUM(Z2:Z2)</f>
      </c>
      <c r="AA3" s="0" t="s">
        <v>11</v>
      </c>
      <c r="AB3" s="11" t="n">
        <v>44984</v>
      </c>
      <c r="AC3" s="6" t="n">
        <v>100</v>
      </c>
      <c r="AD3" s="6" t="n">
        <v>342.17</v>
      </c>
      <c r="AE3" s="11" t="n">
        <v>44984</v>
      </c>
      <c r="AF3" s="6" t="n">
        <v>2</v>
      </c>
      <c r="AG3" s="6" t="n">
        <v>164.74</v>
      </c>
      <c r="AH3" s="11" t="n">
        <v>45597</v>
      </c>
      <c r="AI3" s="6" t="n">
        <v>10</v>
      </c>
      <c r="AJ3" s="6" t="n">
        <v>1836.99</v>
      </c>
      <c r="AK3" s="11" t="n">
        <v>45104</v>
      </c>
      <c r="AL3" s="6" t="n">
        <v>10</v>
      </c>
      <c r="AM3" s="6" t="n">
        <v>420.06</v>
      </c>
      <c r="AN3" s="0"/>
      <c r="AO3" s="5" t="s">
        <f>=SUM(AP2:AP2)/SUM(AO2:AO2)</f>
      </c>
      <c r="AP3" s="0" t="s">
        <v>11</v>
      </c>
      <c r="AQ3" s="11" t="n">
        <v>45541</v>
      </c>
      <c r="AR3" s="6" t="n">
        <v>100</v>
      </c>
      <c r="AS3" s="6" t="n">
        <v>1612.72</v>
      </c>
      <c r="AT3" s="11" t="n">
        <v>45104</v>
      </c>
      <c r="AU3" s="6" t="n">
        <v>10</v>
      </c>
      <c r="AV3" s="6" t="n">
        <v>728.18</v>
      </c>
      <c r="AW3" s="0"/>
      <c r="AX3" s="5" t="s">
        <f>=SUM(AY2:AY2)/SUM(AX2:AX2)</f>
      </c>
      <c r="AY3" s="0" t="s">
        <v>11</v>
      </c>
      <c r="AZ3" s="11" t="n">
        <v>45198</v>
      </c>
      <c r="BA3" s="6" t="n">
        <v>100</v>
      </c>
      <c r="BB3" s="6" t="n">
        <v>718.25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11" t="n">
        <v>45541</v>
      </c>
      <c r="BJ3" s="6" t="n">
        <v>10</v>
      </c>
      <c r="BK3" s="6" t="n">
        <v>1056.56</v>
      </c>
      <c r="BL3" s="11" t="n">
        <v>45541</v>
      </c>
      <c r="BM3" s="6" t="n">
        <v>10</v>
      </c>
      <c r="BN3" s="6" t="n">
        <v>903.2</v>
      </c>
      <c r="BO3" s="0"/>
      <c r="BP3" s="5" t="s">
        <f>=SUM(BQ2:BQ2)/SUM(BP2:BP2)</f>
      </c>
      <c r="BQ3" s="0" t="s">
        <v>11</v>
      </c>
      <c r="BR3" s="11" t="n">
        <v>45356</v>
      </c>
      <c r="BS3" s="6" t="n">
        <v>10000</v>
      </c>
      <c r="BT3" s="6" t="n">
        <v>1235.9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11" t="n">
        <v>44746</v>
      </c>
      <c r="CB3" s="6" t="n">
        <v>10</v>
      </c>
      <c r="CC3" s="6" t="n">
        <v>321.31</v>
      </c>
      <c r="CD3" s="11" t="n">
        <v>45506</v>
      </c>
      <c r="CE3" s="6" t="n">
        <v>1000</v>
      </c>
      <c r="CF3" s="6" t="n">
        <v>598.89</v>
      </c>
      <c r="CG3" s="11" t="n">
        <v>45541</v>
      </c>
      <c r="CH3" s="6" t="n">
        <v>10</v>
      </c>
      <c r="CI3" s="6" t="n">
        <v>302.1</v>
      </c>
      <c r="CJ3" s="0"/>
      <c r="CK3" s="5" t="s">
        <f>=SUM(CL2:CL2)/SUM(CK2:CK2)</f>
      </c>
      <c r="CL3" s="0" t="s">
        <v>11</v>
      </c>
      <c r="CM3" s="11" t="n">
        <v>44776</v>
      </c>
      <c r="CN3" s="6" t="n">
        <v>1</v>
      </c>
      <c r="CO3" s="6" t="n">
        <v>742.71</v>
      </c>
      <c r="CP3" s="11" t="n">
        <v>44746</v>
      </c>
      <c r="CQ3" s="6" t="n">
        <v>1</v>
      </c>
      <c r="CR3" s="6" t="n">
        <v>1111.02</v>
      </c>
      <c r="CS3" s="11" t="n">
        <v>44950</v>
      </c>
      <c r="CT3" s="6" t="n">
        <v>1</v>
      </c>
      <c r="CU3" s="6" t="n">
        <v>761.14</v>
      </c>
      <c r="CV3" s="11" t="n">
        <v>44881</v>
      </c>
      <c r="CW3" s="6" t="n">
        <v>1</v>
      </c>
      <c r="CX3" s="6" t="n">
        <v>1057.94</v>
      </c>
      <c r="CY3" s="11" t="n">
        <v>44950</v>
      </c>
      <c r="CZ3" s="6" t="n">
        <v>1</v>
      </c>
      <c r="DA3" s="6" t="n">
        <v>805.19</v>
      </c>
      <c r="DB3" s="11" t="n">
        <v>44950</v>
      </c>
      <c r="DC3" s="6" t="n">
        <v>1</v>
      </c>
      <c r="DD3" s="6" t="n">
        <v>837.75</v>
      </c>
      <c r="DE3" s="11" t="n">
        <v>45061</v>
      </c>
      <c r="DF3" s="6" t="n">
        <v>1</v>
      </c>
      <c r="DG3" s="6" t="n">
        <v>897.96</v>
      </c>
      <c r="DH3" s="11" t="n">
        <v>44825</v>
      </c>
      <c r="DI3" s="6" t="n">
        <v>1</v>
      </c>
      <c r="DJ3" s="6" t="n">
        <v>790.02</v>
      </c>
      <c r="DK3" s="11" t="n">
        <v>45266</v>
      </c>
      <c r="DL3" s="6" t="n">
        <v>2</v>
      </c>
      <c r="DM3" s="6" t="n">
        <v>1742.59</v>
      </c>
      <c r="DN3" s="11" t="n">
        <v>45351</v>
      </c>
      <c r="DO3" s="6" t="n">
        <v>1</v>
      </c>
      <c r="DP3" s="6" t="n">
        <v>888.26</v>
      </c>
      <c r="DQ3" s="11" t="n">
        <v>45356</v>
      </c>
      <c r="DR3" s="6" t="n">
        <v>1</v>
      </c>
      <c r="DS3" s="6" t="n">
        <v>860.33</v>
      </c>
      <c r="DT3" s="11" t="n">
        <v>45630</v>
      </c>
      <c r="DU3" s="6" t="n">
        <v>1</v>
      </c>
      <c r="DV3" s="6" t="n">
        <v>856.46</v>
      </c>
      <c r="DW3" s="11" t="n">
        <v>45021</v>
      </c>
      <c r="DX3" s="6" t="n">
        <v>1</v>
      </c>
      <c r="DY3" s="6" t="n">
        <v>805.83</v>
      </c>
      <c r="DZ3" s="11" t="n">
        <v>44868</v>
      </c>
      <c r="EA3" s="6" t="n">
        <v>1</v>
      </c>
      <c r="EB3" s="6" t="n">
        <v>856.43</v>
      </c>
      <c r="EC3" s="11" t="n">
        <v>45351</v>
      </c>
      <c r="ED3" s="6" t="n">
        <v>1</v>
      </c>
      <c r="EE3" s="6" t="n">
        <v>983.28</v>
      </c>
      <c r="EF3" s="11" t="n">
        <v>44950</v>
      </c>
      <c r="EG3" s="6" t="n">
        <v>1</v>
      </c>
      <c r="EH3" s="6" t="n">
        <v>1081.49</v>
      </c>
      <c r="EI3" s="11" t="n">
        <v>45702</v>
      </c>
      <c r="EJ3" s="6" t="n">
        <v>1</v>
      </c>
      <c r="EK3" s="6" t="n">
        <v>886.67</v>
      </c>
      <c r="EL3" s="11" t="n">
        <v>45623</v>
      </c>
      <c r="EM3" s="6" t="n">
        <v>1</v>
      </c>
      <c r="EN3" s="6" t="n">
        <v>864.43</v>
      </c>
      <c r="EO3" s="11" t="n">
        <v>45026</v>
      </c>
      <c r="EP3" s="6" t="n">
        <v>1</v>
      </c>
      <c r="EQ3" s="6" t="n">
        <v>1027.73</v>
      </c>
      <c r="ER3" s="11" t="n">
        <v>45014</v>
      </c>
      <c r="ES3" s="6" t="n">
        <v>1</v>
      </c>
      <c r="ET3" s="6" t="n">
        <v>1141.72</v>
      </c>
      <c r="EU3" s="11" t="n">
        <v>45714</v>
      </c>
      <c r="EV3" s="6" t="n">
        <v>1</v>
      </c>
      <c r="EW3" s="6" t="n">
        <v>855.98</v>
      </c>
      <c r="EX3" s="11" t="n">
        <v>45447</v>
      </c>
      <c r="EY3" s="6" t="n">
        <v>1</v>
      </c>
      <c r="EZ3" s="6" t="n">
        <v>822.25</v>
      </c>
      <c r="FA3" s="11" t="n">
        <v>45504</v>
      </c>
      <c r="FB3" s="6" t="n">
        <v>1</v>
      </c>
      <c r="FC3" s="6" t="n">
        <v>646.87</v>
      </c>
      <c r="FD3" s="11" t="n">
        <v>45670</v>
      </c>
      <c r="FE3" s="6" t="n">
        <v>1</v>
      </c>
      <c r="FF3" s="6" t="n">
        <v>830.27</v>
      </c>
      <c r="FG3" s="11" t="n">
        <v>45670</v>
      </c>
      <c r="FH3" s="6" t="n">
        <v>1</v>
      </c>
      <c r="FI3" s="6" t="n">
        <v>885.54</v>
      </c>
      <c r="FJ3" s="0"/>
      <c r="FK3" s="5" t="s">
        <f>=SUM(FL2:FL2)/SUM(FK2:FK2)</f>
      </c>
      <c r="FL3" s="0" t="s">
        <v>11</v>
      </c>
      <c r="FM3" s="11" t="n">
        <v>45622</v>
      </c>
      <c r="FN3" s="6" t="n">
        <v>1</v>
      </c>
      <c r="FO3" s="6" t="n">
        <v>809</v>
      </c>
      <c r="FP3" s="0"/>
      <c r="FQ3" s="5" t="s">
        <f>=SUM(FR2:FR2)/SUM(FQ2:FQ2)</f>
      </c>
      <c r="FR3" s="0" t="s">
        <v>11</v>
      </c>
      <c r="FS3" s="11" t="n">
        <v>45471</v>
      </c>
      <c r="FT3" s="6" t="n">
        <v>1</v>
      </c>
      <c r="FU3" s="6" t="n">
        <v>1016.68</v>
      </c>
      <c r="FV3" s="0"/>
      <c r="FW3" s="5" t="s">
        <f>=SUM(FX2:FX2)/SUM(FW2:FW2)</f>
      </c>
      <c r="FX3" s="0" t="s">
        <v>11</v>
      </c>
      <c r="FY3" s="11" t="n">
        <v>45084</v>
      </c>
      <c r="FZ3" s="6" t="n">
        <v>1</v>
      </c>
      <c r="GA3" s="6" t="n">
        <v>880.79</v>
      </c>
      <c r="GB3" s="11" t="n">
        <v>45503</v>
      </c>
      <c r="GC3" s="6" t="n">
        <v>1</v>
      </c>
      <c r="GD3" s="6" t="n">
        <v>860.88</v>
      </c>
      <c r="GE3" s="11" t="n">
        <v>45446</v>
      </c>
      <c r="GF3" s="6" t="n">
        <v>1</v>
      </c>
      <c r="GG3" s="6" t="n">
        <v>825.99</v>
      </c>
      <c r="GH3" s="11" t="n">
        <v>45670</v>
      </c>
      <c r="GI3" s="6" t="n">
        <v>1</v>
      </c>
      <c r="GJ3" s="6" t="n">
        <v>869.91</v>
      </c>
      <c r="GK3" s="11" t="n">
        <v>45670</v>
      </c>
      <c r="GL3" s="6" t="n">
        <v>1</v>
      </c>
      <c r="GM3" s="6" t="n">
        <v>860.66</v>
      </c>
      <c r="GN3" s="11" t="n">
        <v>45677</v>
      </c>
      <c r="GO3" s="6" t="n">
        <v>1</v>
      </c>
      <c r="GP3" s="6" t="n">
        <v>821.33</v>
      </c>
      <c r="GQ3" s="11" t="n">
        <v>45670</v>
      </c>
      <c r="GR3" s="6" t="n">
        <v>1</v>
      </c>
      <c r="GS3" s="6" t="n">
        <v>799.64</v>
      </c>
      <c r="GT3" s="11" t="n">
        <v>45762</v>
      </c>
      <c r="GU3" s="6" t="n">
        <v>1</v>
      </c>
      <c r="GV3" s="6" t="n">
        <v>784.54</v>
      </c>
      <c r="GW3" s="11" t="n">
        <v>45670</v>
      </c>
      <c r="GX3" s="6" t="n">
        <v>1</v>
      </c>
      <c r="GY3" s="6" t="n">
        <v>708.97</v>
      </c>
      <c r="GZ3" s="0"/>
      <c r="HA3" s="5" t="s">
        <f>=SUM(HB2:HB2)/SUM(HA2:HA2)</f>
      </c>
      <c r="HB3" s="0" t="s">
        <v>11</v>
      </c>
      <c r="HC3" s="0"/>
      <c r="HD3" s="5" t="s">
        <f>=SUM(HE2:HE2)/SUM(HD2:HD2)</f>
      </c>
      <c r="HE3" s="0" t="s">
        <v>11</v>
      </c>
      <c r="HF3" s="0"/>
      <c r="HG3" s="5" t="s">
        <f>=SUM(HH2:HH2)/SUM(HG2:HG2)</f>
      </c>
      <c r="HH3" s="0" t="s">
        <v>11</v>
      </c>
      <c r="HI3" s="0"/>
      <c r="HJ3" s="5" t="s">
        <f>=SUM(HK2:HK2)/SUM(HJ2:HJ2)</f>
      </c>
      <c r="HK3" s="0" t="s">
        <v>11</v>
      </c>
      <c r="HL3" s="0"/>
      <c r="HM3" s="5" t="s">
        <f>=SUM(HN2:HN2)/SUM(HM2:HM2)</f>
      </c>
      <c r="HN3" s="0" t="s">
        <v>11</v>
      </c>
      <c r="HO3" s="0"/>
      <c r="HP3" s="5" t="s">
        <f>=SUM(HQ2:HQ2)/SUM(HP2:HP2)</f>
      </c>
      <c r="HQ3" s="0" t="s">
        <v>11</v>
      </c>
      <c r="HR3" s="0"/>
      <c r="HS3" s="5" t="s">
        <f>=SUM(HT2:HT2)/SUM(HS2:HS2)</f>
      </c>
      <c r="HT3" s="0" t="s">
        <v>11</v>
      </c>
      <c r="HU3" s="0"/>
      <c r="HV3" s="5" t="s">
        <f>=SUM(HW2:HW2)/SUM(HV2:HV2)</f>
      </c>
      <c r="HW3" s="0" t="s">
        <v>11</v>
      </c>
      <c r="HX3" s="0"/>
      <c r="HY3" s="5" t="s">
        <f>=SUM(HZ2:HZ2)/SUM(HY2:HY2)</f>
      </c>
      <c r="HZ3" s="0" t="s">
        <v>11</v>
      </c>
      <c r="IA3" s="0"/>
      <c r="IB3" s="5" t="s">
        <f>=SUM(IC2:IC2)/SUM(IB2:IB2)</f>
      </c>
      <c r="IC3" s="0" t="s">
        <v>11</v>
      </c>
      <c r="ID3" s="0"/>
      <c r="IE3" s="5" t="s">
        <f>=SUM(IF2:IF2)/SUM(IE2:IE2)</f>
      </c>
      <c r="IF3" s="0" t="s">
        <v>11</v>
      </c>
      <c r="IG3" s="0"/>
      <c r="IH3" s="5" t="s">
        <f>=SUM(II2:II2)/SUM(IH2:IH2)</f>
      </c>
      <c r="II3" s="0" t="s">
        <v>11</v>
      </c>
      <c r="IJ3" s="0"/>
      <c r="IK3" s="5" t="s">
        <f>=SUM(IL2:IL2)/SUM(IK2:IK2)</f>
      </c>
      <c r="IL3" s="0" t="s">
        <v>11</v>
      </c>
      <c r="IM3" s="0"/>
      <c r="IN3" s="5" t="s">
        <f>=SUM(IO2:IO2)/SUM(IN2:IN2)</f>
      </c>
      <c r="IO3" s="0" t="s">
        <v>11</v>
      </c>
      <c r="IP3" s="0"/>
      <c r="IQ3" s="5" t="s">
        <f>=SUM(IR2:IR2)/SUM(IQ2:IQ2)</f>
      </c>
      <c r="IR3" s="0" t="s">
        <v>11</v>
      </c>
      <c r="IS3" s="0"/>
      <c r="IT3" s="5" t="s">
        <f>=SUM(IU2:IU2)/SUM(IT2:IT2)</f>
      </c>
      <c r="IU3" s="0" t="s">
        <v>11</v>
      </c>
      <c r="IV3" s="0"/>
      <c r="IW3" s="5" t="s">
        <f>=SUM(IX2:IX2)/SUM(IW2:IW2)</f>
      </c>
      <c r="IX3" s="0" t="s">
        <v>11</v>
      </c>
      <c r="IY3" s="0"/>
      <c r="IZ3" s="5" t="s">
        <f>=SUM(JA2:JA2)/SUM(IZ2:IZ2)</f>
      </c>
      <c r="JA3" s="0" t="s">
        <v>11</v>
      </c>
      <c r="JB3" s="0"/>
      <c r="JC3" s="5" t="s">
        <f>=SUM(JD2:JD2)/SUM(JC2:JC2)</f>
      </c>
      <c r="JD3" s="0" t="s">
        <v>11</v>
      </c>
      <c r="JE3" s="0"/>
      <c r="JF3" s="5" t="s">
        <f>=SUM(JG2:JG2)/SUM(JF2:JF2)</f>
      </c>
      <c r="JG3" s="0" t="s">
        <v>11</v>
      </c>
      <c r="JH3" s="0"/>
      <c r="JI3" s="5" t="s">
        <f>=SUM(JJ2:JJ2)/SUM(JI2:JI2)</f>
      </c>
      <c r="JJ3" s="0" t="s">
        <v>11</v>
      </c>
      <c r="JK3" s="0"/>
      <c r="JL3" s="5" t="s">
        <f>=SUM(JM2:JM2)/SUM(JL2:JL2)</f>
      </c>
      <c r="JM3" s="0" t="s">
        <v>11</v>
      </c>
      <c r="JN3" s="0"/>
      <c r="JO3" s="5" t="s">
        <f>=SUM(JP2:JP2)/SUM(JO2:JO2)</f>
      </c>
      <c r="JP3" s="0" t="s">
        <v>11</v>
      </c>
      <c r="JQ3" s="0"/>
      <c r="JR3" s="5" t="s">
        <f>=SUM(JS2:JS2)/SUM(JR2:JR2)</f>
      </c>
      <c r="JS3" s="0" t="s">
        <v>11</v>
      </c>
      <c r="JT3" s="0"/>
      <c r="JU3" s="5" t="s">
        <f>=SUM(JV2:JV2)/SUM(JU2:JU2)</f>
      </c>
      <c r="JV3" s="0" t="s">
        <v>11</v>
      </c>
      <c r="JW3" s="0"/>
      <c r="JX3" s="5" t="s">
        <f>=SUM(JY2:JY2)/SUM(JX2:JX2)</f>
      </c>
      <c r="JY3" s="0" t="s">
        <v>11</v>
      </c>
      <c r="JZ3" s="0"/>
      <c r="KA3" s="5" t="s">
        <f>=SUM(KB2:KB2)/SUM(KA2:KA2)</f>
      </c>
      <c r="KB3" s="0" t="s">
        <v>11</v>
      </c>
      <c r="KC3" s="0"/>
      <c r="KD3" s="5" t="s">
        <f>=SUM(KE2:KE2)/SUM(KD2:KD2)</f>
      </c>
      <c r="KE3" s="0" t="s">
        <v>11</v>
      </c>
      <c r="KF3" s="0"/>
      <c r="KG3" s="5" t="s">
        <f>=SUM(KH2:KH2)/SUM(KG2:KG2)</f>
      </c>
      <c r="KH3" s="0" t="s">
        <v>11</v>
      </c>
      <c r="KI3" s="0"/>
      <c r="KJ3" s="5" t="s">
        <f>=SUM(KK2:KK2)/SUM(KJ2:KJ2)</f>
      </c>
      <c r="KK3" s="0" t="s">
        <v>11</v>
      </c>
      <c r="KL3" s="0"/>
      <c r="KM3" s="5" t="s">
        <f>=SUM(KN2:KN2)/SUM(KM2:KM2)</f>
      </c>
      <c r="KN3" s="0" t="s">
        <v>11</v>
      </c>
      <c r="KO3" s="0"/>
      <c r="KP3" s="5" t="s">
        <f>=SUM(KQ2:KQ2)/SUM(KP2:KP2)</f>
      </c>
      <c r="KQ3" s="0" t="s">
        <v>11</v>
      </c>
      <c r="KR3" s="0"/>
      <c r="KS3" s="5" t="s">
        <f>=SUM(KT2:KT2)/SUM(KS2:KS2)</f>
      </c>
      <c r="KT3" s="0" t="s">
        <v>11</v>
      </c>
      <c r="KU3" s="0"/>
      <c r="KV3" s="5" t="s">
        <f>=SUM(KW2:KW2)/SUM(KV2:KV2)</f>
      </c>
      <c r="KW3" s="0" t="s">
        <v>11</v>
      </c>
      <c r="KX3" s="0"/>
      <c r="KY3" s="5" t="s">
        <f>=SUM(KZ2:KZ2)/SUM(KY2:KY2)</f>
      </c>
      <c r="KZ3" s="0" t="s">
        <v>11</v>
      </c>
      <c r="LA3" s="0"/>
      <c r="LB3" s="5" t="s">
        <f>=SUM(LC2:LC2)/SUM(LB2:LB2)</f>
      </c>
      <c r="LC3" s="0" t="s">
        <v>11</v>
      </c>
      <c r="LD3" s="0"/>
      <c r="LE3" s="5" t="s">
        <f>=SUM(LF2:LF2)/SUM(LE2:LE2)</f>
      </c>
      <c r="LF3" s="0" t="s">
        <v>11</v>
      </c>
    </row>
    <row collapsed="false" customFormat="false" customHeight="false" hidden="false" ht="12.1" outlineLevel="0" r="4">
      <c r="A4" s="11" t="n">
        <v>44984</v>
      </c>
      <c r="B4" s="6" t="n">
        <v>10</v>
      </c>
      <c r="C4" s="6" t="n">
        <v>1698.68</v>
      </c>
      <c r="D4" s="11" t="n">
        <v>45751</v>
      </c>
      <c r="E4" s="6" t="n">
        <v>1</v>
      </c>
      <c r="F4" s="6" t="n">
        <v>3225.65</v>
      </c>
      <c r="G4" s="0"/>
      <c r="H4" s="6" t="n">
        <v>1729.8</v>
      </c>
      <c r="I4" s="0" t="s">
        <v>877</v>
      </c>
      <c r="J4" s="11" t="n">
        <v>45418</v>
      </c>
      <c r="K4" s="6" t="n">
        <v>10</v>
      </c>
      <c r="L4" s="6" t="n">
        <v>3078.31</v>
      </c>
      <c r="M4" s="11" t="n">
        <v>45418</v>
      </c>
      <c r="N4" s="6" t="n">
        <v>10</v>
      </c>
      <c r="O4" s="6" t="n">
        <v>1558.76</v>
      </c>
      <c r="P4" s="11" t="n">
        <v>45639</v>
      </c>
      <c r="Q4" s="6" t="n">
        <v>6</v>
      </c>
      <c r="R4" s="6" t="n">
        <v>3377.9</v>
      </c>
      <c r="S4" s="11" t="n">
        <v>45356</v>
      </c>
      <c r="T4" s="6" t="n">
        <v>2</v>
      </c>
      <c r="U4" s="6" t="n">
        <v>1789.95</v>
      </c>
      <c r="V4" s="11" t="n">
        <v>45729</v>
      </c>
      <c r="W4" s="6" t="n">
        <v>10</v>
      </c>
      <c r="X4" s="6" t="n">
        <v>2098.78</v>
      </c>
      <c r="Y4" s="0"/>
      <c r="Z4" s="6" t="n">
        <v>51.66</v>
      </c>
      <c r="AA4" s="0" t="s">
        <v>877</v>
      </c>
      <c r="AB4" s="11" t="n">
        <v>45026</v>
      </c>
      <c r="AC4" s="6" t="n">
        <v>200</v>
      </c>
      <c r="AD4" s="6" t="n">
        <v>770.2</v>
      </c>
      <c r="AE4" s="11" t="n">
        <v>45026</v>
      </c>
      <c r="AF4" s="6" t="n">
        <v>6</v>
      </c>
      <c r="AG4" s="6" t="n">
        <v>568.55</v>
      </c>
      <c r="AH4" s="0"/>
      <c r="AI4" s="5" t="s">
        <f>=SUM(AJ2:AJ3)/SUM(AI2:AI3)</f>
      </c>
      <c r="AJ4" s="0" t="s">
        <v>11</v>
      </c>
      <c r="AK4" s="11" t="n">
        <v>45219</v>
      </c>
      <c r="AL4" s="6" t="n">
        <v>10</v>
      </c>
      <c r="AM4" s="6" t="n">
        <v>406.72</v>
      </c>
      <c r="AN4" s="0"/>
      <c r="AO4" s="6" t="n">
        <v>372.19</v>
      </c>
      <c r="AP4" s="0" t="s">
        <v>877</v>
      </c>
      <c r="AQ4" s="0"/>
      <c r="AR4" s="5" t="s">
        <f>=SUM(AS2:AS3)/SUM(AR2:AR3)</f>
      </c>
      <c r="AS4" s="0" t="s">
        <v>11</v>
      </c>
      <c r="AT4" s="11" t="n">
        <v>45324</v>
      </c>
      <c r="AU4" s="6" t="n">
        <v>10</v>
      </c>
      <c r="AV4" s="6" t="n">
        <v>765.49</v>
      </c>
      <c r="AW4" s="0"/>
      <c r="AX4" s="6" t="n">
        <v>262.4</v>
      </c>
      <c r="AY4" s="0" t="s">
        <v>877</v>
      </c>
      <c r="AZ4" s="11" t="n">
        <v>45324</v>
      </c>
      <c r="BA4" s="6" t="n">
        <v>100</v>
      </c>
      <c r="BB4" s="6" t="n">
        <v>783.04</v>
      </c>
      <c r="BC4" s="0"/>
      <c r="BD4" s="6" t="n">
        <v>22.095</v>
      </c>
      <c r="BE4" s="0" t="s">
        <v>877</v>
      </c>
      <c r="BF4" s="0"/>
      <c r="BG4" s="6" t="n">
        <v>2.1775</v>
      </c>
      <c r="BH4" s="0" t="s">
        <v>877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0"/>
      <c r="BP4" s="6" t="n">
        <v>1.551</v>
      </c>
      <c r="BQ4" s="0" t="s">
        <v>877</v>
      </c>
      <c r="BR4" s="0"/>
      <c r="BS4" s="5" t="s">
        <f>=SUM(BT2:BT3)/SUM(BS2:BS3)</f>
      </c>
      <c r="BT4" s="0" t="s">
        <v>11</v>
      </c>
      <c r="BU4" s="0"/>
      <c r="BV4" s="6" t="n">
        <v>117.44</v>
      </c>
      <c r="BW4" s="0" t="s">
        <v>877</v>
      </c>
      <c r="BX4" s="0"/>
      <c r="BY4" s="6" t="n">
        <v>1113.4</v>
      </c>
      <c r="BZ4" s="0" t="s">
        <v>877</v>
      </c>
      <c r="CA4" s="11" t="n">
        <v>44776</v>
      </c>
      <c r="CB4" s="6" t="n">
        <v>10</v>
      </c>
      <c r="CC4" s="6" t="n">
        <v>243.43</v>
      </c>
      <c r="CD4" s="0"/>
      <c r="CE4" s="5" t="s">
        <f>=SUM(CF2:CF3)/SUM(CE2:CE3)</f>
      </c>
      <c r="CF4" s="0" t="s">
        <v>11</v>
      </c>
      <c r="CG4" s="0"/>
      <c r="CH4" s="5" t="s">
        <f>=SUM(CI2:CI3)/SUM(CH2:CH3)</f>
      </c>
      <c r="CI4" s="0" t="s">
        <v>11</v>
      </c>
      <c r="CJ4" s="0"/>
      <c r="CK4" s="6" t="n">
        <v>46.69</v>
      </c>
      <c r="CL4" s="0" t="s">
        <v>877</v>
      </c>
      <c r="CM4" s="11" t="n">
        <v>44868</v>
      </c>
      <c r="CN4" s="6" t="n">
        <v>1</v>
      </c>
      <c r="CO4" s="6" t="n">
        <v>731.95</v>
      </c>
      <c r="CP4" s="11" t="n">
        <v>44916</v>
      </c>
      <c r="CQ4" s="6" t="n">
        <v>1</v>
      </c>
      <c r="CR4" s="6" t="n">
        <v>1051.78</v>
      </c>
      <c r="CS4" s="11" t="n">
        <v>45006</v>
      </c>
      <c r="CT4" s="6" t="n">
        <v>1</v>
      </c>
      <c r="CU4" s="6" t="n">
        <v>756.65</v>
      </c>
      <c r="CV4" s="11" t="n">
        <v>44903</v>
      </c>
      <c r="CW4" s="6" t="n">
        <v>1</v>
      </c>
      <c r="CX4" s="6" t="n">
        <v>1068.42</v>
      </c>
      <c r="CY4" s="11" t="n">
        <v>44972</v>
      </c>
      <c r="CZ4" s="6" t="n">
        <v>1</v>
      </c>
      <c r="DA4" s="6" t="n">
        <v>763.22</v>
      </c>
      <c r="DB4" s="11" t="n">
        <v>45006</v>
      </c>
      <c r="DC4" s="6" t="n">
        <v>1</v>
      </c>
      <c r="DD4" s="6" t="n">
        <v>831.77</v>
      </c>
      <c r="DE4" s="11" t="n">
        <v>45217</v>
      </c>
      <c r="DF4" s="6" t="n">
        <v>1</v>
      </c>
      <c r="DG4" s="6" t="n">
        <v>843.84</v>
      </c>
      <c r="DH4" s="11" t="n">
        <v>44868</v>
      </c>
      <c r="DI4" s="6" t="n">
        <v>1</v>
      </c>
      <c r="DJ4" s="6" t="n">
        <v>779.81</v>
      </c>
      <c r="DK4" s="11" t="n">
        <v>45303</v>
      </c>
      <c r="DL4" s="6" t="n">
        <v>1</v>
      </c>
      <c r="DM4" s="6" t="n">
        <v>855.56</v>
      </c>
      <c r="DN4" s="11" t="n">
        <v>45356</v>
      </c>
      <c r="DO4" s="6" t="n">
        <v>1</v>
      </c>
      <c r="DP4" s="6" t="n">
        <v>882.57</v>
      </c>
      <c r="DQ4" s="11" t="n">
        <v>45378</v>
      </c>
      <c r="DR4" s="6" t="n">
        <v>1</v>
      </c>
      <c r="DS4" s="6" t="n">
        <v>750.19</v>
      </c>
      <c r="DT4" s="11" t="n">
        <v>45702</v>
      </c>
      <c r="DU4" s="6" t="n">
        <v>1</v>
      </c>
      <c r="DV4" s="6" t="n">
        <v>857.05</v>
      </c>
      <c r="DW4" s="11" t="n">
        <v>45203</v>
      </c>
      <c r="DX4" s="6" t="n">
        <v>1</v>
      </c>
      <c r="DY4" s="6" t="n">
        <v>724.94</v>
      </c>
      <c r="DZ4" s="11" t="n">
        <v>44888</v>
      </c>
      <c r="EA4" s="6" t="n">
        <v>1</v>
      </c>
      <c r="EB4" s="6" t="n">
        <v>823.33</v>
      </c>
      <c r="EC4" s="11" t="n">
        <v>45356</v>
      </c>
      <c r="ED4" s="6" t="n">
        <v>1</v>
      </c>
      <c r="EE4" s="6" t="n">
        <v>975.29</v>
      </c>
      <c r="EF4" s="11" t="n">
        <v>45028</v>
      </c>
      <c r="EG4" s="6" t="n">
        <v>1</v>
      </c>
      <c r="EH4" s="6" t="n">
        <v>1075.09</v>
      </c>
      <c r="EI4" s="11" t="n">
        <v>45714</v>
      </c>
      <c r="EJ4" s="6" t="n">
        <v>1</v>
      </c>
      <c r="EK4" s="6" t="n">
        <v>858.07</v>
      </c>
      <c r="EL4" s="11" t="n">
        <v>45702</v>
      </c>
      <c r="EM4" s="6" t="n">
        <v>1</v>
      </c>
      <c r="EN4" s="6" t="n">
        <v>829.06</v>
      </c>
      <c r="EO4" s="11" t="n">
        <v>45114</v>
      </c>
      <c r="EP4" s="6" t="n">
        <v>2</v>
      </c>
      <c r="EQ4" s="6" t="n">
        <v>1988.71</v>
      </c>
      <c r="ER4" s="11" t="n">
        <v>45026</v>
      </c>
      <c r="ES4" s="6" t="n">
        <v>1</v>
      </c>
      <c r="ET4" s="6" t="n">
        <v>1142.12</v>
      </c>
      <c r="EU4" s="11" t="n">
        <v>45714</v>
      </c>
      <c r="EV4" s="6" t="n">
        <v>1</v>
      </c>
      <c r="EW4" s="6" t="n">
        <v>855.98</v>
      </c>
      <c r="EX4" s="11" t="n">
        <v>45447</v>
      </c>
      <c r="EY4" s="6" t="n">
        <v>1</v>
      </c>
      <c r="EZ4" s="6" t="n">
        <v>819.83</v>
      </c>
      <c r="FA4" s="11" t="n">
        <v>45506</v>
      </c>
      <c r="FB4" s="6" t="n">
        <v>1</v>
      </c>
      <c r="FC4" s="6" t="n">
        <v>633.72</v>
      </c>
      <c r="FD4" s="11" t="n">
        <v>45670</v>
      </c>
      <c r="FE4" s="6" t="n">
        <v>1</v>
      </c>
      <c r="FF4" s="6" t="n">
        <v>829.97</v>
      </c>
      <c r="FG4" s="11" t="n">
        <v>45670</v>
      </c>
      <c r="FH4" s="6" t="n">
        <v>1</v>
      </c>
      <c r="FI4" s="6" t="n">
        <v>885.54</v>
      </c>
      <c r="FJ4" s="0"/>
      <c r="FK4" s="6" t="n">
        <v>79.858</v>
      </c>
      <c r="FL4" s="0" t="s">
        <v>877</v>
      </c>
      <c r="FM4" s="11" t="n">
        <v>45670</v>
      </c>
      <c r="FN4" s="6" t="n">
        <v>1</v>
      </c>
      <c r="FO4" s="6" t="n">
        <v>808.9</v>
      </c>
      <c r="FP4" s="0"/>
      <c r="FQ4" s="6" t="n">
        <v>98.266</v>
      </c>
      <c r="FR4" s="0" t="s">
        <v>877</v>
      </c>
      <c r="FS4" s="0"/>
      <c r="FT4" s="5" t="s">
        <f>=SUM(FU2:FU3)/SUM(FT2:FT3)</f>
      </c>
      <c r="FU4" s="0" t="s">
        <v>11</v>
      </c>
      <c r="FV4" s="0"/>
      <c r="FW4" s="6" t="n">
        <v>99.82</v>
      </c>
      <c r="FX4" s="0" t="s">
        <v>877</v>
      </c>
      <c r="FY4" s="0"/>
      <c r="FZ4" s="5" t="s">
        <f>=SUM(GA2:GA3)/SUM(FZ2:FZ3)</f>
      </c>
      <c r="GA4" s="0" t="s">
        <v>11</v>
      </c>
      <c r="GB4" s="0"/>
      <c r="GC4" s="5" t="s">
        <f>=SUM(GD2:GD3)/SUM(GC2:GC3)</f>
      </c>
      <c r="GD4" s="0" t="s">
        <v>11</v>
      </c>
      <c r="GE4" s="0"/>
      <c r="GF4" s="5" t="s">
        <f>=SUM(GG2:GG3)/SUM(GF2:GF3)</f>
      </c>
      <c r="GG4" s="0" t="s">
        <v>11</v>
      </c>
      <c r="GH4" s="0"/>
      <c r="GI4" s="5" t="s">
        <f>=SUM(GJ2:GJ3)/SUM(GI2:GI3)</f>
      </c>
      <c r="GJ4" s="0" t="s">
        <v>11</v>
      </c>
      <c r="GK4" s="0"/>
      <c r="GL4" s="5" t="s">
        <f>=SUM(GM2:GM3)/SUM(GL2:GL3)</f>
      </c>
      <c r="GM4" s="0" t="s">
        <v>11</v>
      </c>
      <c r="GN4" s="0"/>
      <c r="GO4" s="5" t="s">
        <f>=SUM(GP2:GP3)/SUM(GO2:GO3)</f>
      </c>
      <c r="GP4" s="0" t="s">
        <v>11</v>
      </c>
      <c r="GQ4" s="0"/>
      <c r="GR4" s="5" t="s">
        <f>=SUM(GS2:GS3)/SUM(GR2:GR3)</f>
      </c>
      <c r="GS4" s="0" t="s">
        <v>11</v>
      </c>
      <c r="GT4" s="0"/>
      <c r="GU4" s="5" t="s">
        <f>=SUM(GV2:GV3)/SUM(GU2:GU3)</f>
      </c>
      <c r="GV4" s="0" t="s">
        <v>11</v>
      </c>
      <c r="GW4" s="0"/>
      <c r="GX4" s="5" t="s">
        <f>=SUM(GY2:GY3)/SUM(GX2:GX3)</f>
      </c>
      <c r="GY4" s="0" t="s">
        <v>11</v>
      </c>
      <c r="GZ4" s="0"/>
      <c r="HA4" s="6" t="n">
        <v>88.44</v>
      </c>
      <c r="HB4" s="0" t="s">
        <v>877</v>
      </c>
      <c r="HC4" s="0"/>
      <c r="HD4" s="6" t="n">
        <v>103.96</v>
      </c>
      <c r="HE4" s="0" t="s">
        <v>877</v>
      </c>
      <c r="HF4" s="0"/>
      <c r="HG4" s="6" t="n">
        <v>102.98</v>
      </c>
      <c r="HH4" s="0" t="s">
        <v>877</v>
      </c>
      <c r="HI4" s="0"/>
      <c r="HJ4" s="6" t="n">
        <v>104.7</v>
      </c>
      <c r="HK4" s="0" t="s">
        <v>877</v>
      </c>
      <c r="HL4" s="0"/>
      <c r="HM4" s="6" t="n">
        <v>102.58</v>
      </c>
      <c r="HN4" s="0" t="s">
        <v>877</v>
      </c>
      <c r="HO4" s="0"/>
      <c r="HP4" s="6" t="n">
        <v>100.3</v>
      </c>
      <c r="HQ4" s="0" t="s">
        <v>877</v>
      </c>
      <c r="HR4" s="0"/>
      <c r="HS4" s="6" t="n">
        <v>103.47</v>
      </c>
      <c r="HT4" s="0" t="s">
        <v>877</v>
      </c>
      <c r="HU4" s="0"/>
      <c r="HV4" s="6" t="n">
        <v>98.4</v>
      </c>
      <c r="HW4" s="0" t="s">
        <v>877</v>
      </c>
      <c r="HX4" s="0"/>
      <c r="HY4" s="6" t="n">
        <v>97.26</v>
      </c>
      <c r="HZ4" s="0" t="s">
        <v>877</v>
      </c>
      <c r="IA4" s="0"/>
      <c r="IB4" s="6" t="n">
        <v>93.61</v>
      </c>
      <c r="IC4" s="0" t="s">
        <v>877</v>
      </c>
      <c r="ID4" s="0"/>
      <c r="IE4" s="6" t="n">
        <v>95.51</v>
      </c>
      <c r="IF4" s="0" t="s">
        <v>877</v>
      </c>
      <c r="IG4" s="0"/>
      <c r="IH4" s="6" t="n">
        <v>94.829</v>
      </c>
      <c r="II4" s="0" t="s">
        <v>877</v>
      </c>
      <c r="IJ4" s="0"/>
      <c r="IK4" s="6" t="n">
        <v>93.81</v>
      </c>
      <c r="IL4" s="0" t="s">
        <v>877</v>
      </c>
      <c r="IM4" s="0"/>
      <c r="IN4" s="6" t="n">
        <v>89.15</v>
      </c>
      <c r="IO4" s="0" t="s">
        <v>877</v>
      </c>
      <c r="IP4" s="0"/>
      <c r="IQ4" s="6" t="n">
        <v>86.65</v>
      </c>
      <c r="IR4" s="0" t="s">
        <v>877</v>
      </c>
      <c r="IS4" s="0"/>
      <c r="IT4" s="6" t="n">
        <v>87.8</v>
      </c>
      <c r="IU4" s="0" t="s">
        <v>877</v>
      </c>
      <c r="IV4" s="0"/>
      <c r="IW4" s="6" t="n">
        <v>88.4</v>
      </c>
      <c r="IX4" s="0" t="s">
        <v>877</v>
      </c>
      <c r="IY4" s="0"/>
      <c r="IZ4" s="6" t="n">
        <v>89.21</v>
      </c>
      <c r="JA4" s="0" t="s">
        <v>877</v>
      </c>
      <c r="JB4" s="0"/>
      <c r="JC4" s="6" t="n">
        <v>92.74</v>
      </c>
      <c r="JD4" s="0" t="s">
        <v>877</v>
      </c>
      <c r="JE4" s="0"/>
      <c r="JF4" s="6" t="n">
        <v>87.35</v>
      </c>
      <c r="JG4" s="0" t="s">
        <v>877</v>
      </c>
      <c r="JH4" s="0"/>
      <c r="JI4" s="6" t="n">
        <v>84.61</v>
      </c>
      <c r="JJ4" s="0" t="s">
        <v>877</v>
      </c>
      <c r="JK4" s="0"/>
      <c r="JL4" s="6" t="n">
        <v>89.89</v>
      </c>
      <c r="JM4" s="0" t="s">
        <v>877</v>
      </c>
      <c r="JN4" s="0"/>
      <c r="JO4" s="6" t="n">
        <v>85.69</v>
      </c>
      <c r="JP4" s="0" t="s">
        <v>877</v>
      </c>
      <c r="JQ4" s="0"/>
      <c r="JR4" s="6" t="n">
        <v>84.75</v>
      </c>
      <c r="JS4" s="0" t="s">
        <v>877</v>
      </c>
      <c r="JT4" s="0"/>
      <c r="JU4" s="6" t="n">
        <v>84.5</v>
      </c>
      <c r="JV4" s="0" t="s">
        <v>877</v>
      </c>
      <c r="JW4" s="0"/>
      <c r="JX4" s="6" t="n">
        <v>94.11</v>
      </c>
      <c r="JY4" s="0" t="s">
        <v>877</v>
      </c>
      <c r="JZ4" s="0"/>
      <c r="KA4" s="6" t="n">
        <v>84.32</v>
      </c>
      <c r="KB4" s="0" t="s">
        <v>877</v>
      </c>
      <c r="KC4" s="0"/>
      <c r="KD4" s="6" t="n">
        <v>82.44</v>
      </c>
      <c r="KE4" s="0" t="s">
        <v>877</v>
      </c>
      <c r="KF4" s="0"/>
      <c r="KG4" s="6" t="n">
        <v>84.55</v>
      </c>
      <c r="KH4" s="0" t="s">
        <v>877</v>
      </c>
      <c r="KI4" s="0"/>
      <c r="KJ4" s="6" t="n">
        <v>80.97</v>
      </c>
      <c r="KK4" s="0" t="s">
        <v>877</v>
      </c>
      <c r="KL4" s="0"/>
      <c r="KM4" s="6" t="n">
        <v>79.74</v>
      </c>
      <c r="KN4" s="0" t="s">
        <v>877</v>
      </c>
      <c r="KO4" s="0"/>
      <c r="KP4" s="6" t="n">
        <v>80</v>
      </c>
      <c r="KQ4" s="0" t="s">
        <v>877</v>
      </c>
      <c r="KR4" s="0"/>
      <c r="KS4" s="6" t="n">
        <v>92.8</v>
      </c>
      <c r="KT4" s="0" t="s">
        <v>877</v>
      </c>
      <c r="KU4" s="0"/>
      <c r="KV4" s="6" t="n">
        <v>81.9</v>
      </c>
      <c r="KW4" s="0" t="s">
        <v>877</v>
      </c>
      <c r="KX4" s="0"/>
      <c r="KY4" s="6" t="n">
        <v>94.24</v>
      </c>
      <c r="KZ4" s="0" t="s">
        <v>877</v>
      </c>
      <c r="LA4" s="0"/>
      <c r="LB4" s="6" t="n">
        <v>99.94</v>
      </c>
      <c r="LC4" s="0" t="s">
        <v>877</v>
      </c>
      <c r="LD4" s="0"/>
      <c r="LE4" s="6" t="n">
        <v>99.64</v>
      </c>
      <c r="LF4" s="0" t="s">
        <v>877</v>
      </c>
    </row>
    <row collapsed="false" customFormat="false" customHeight="false" hidden="false" ht="12.1" outlineLevel="0" r="5">
      <c r="A5" s="11" t="n">
        <v>45056</v>
      </c>
      <c r="B5" s="6" t="n">
        <v>10</v>
      </c>
      <c r="C5" s="6" t="n">
        <v>2223.55</v>
      </c>
      <c r="D5" s="11" t="n">
        <v>45776</v>
      </c>
      <c r="E5" s="6" t="n">
        <v>1</v>
      </c>
      <c r="F5" s="6" t="n">
        <v>3286.23</v>
      </c>
      <c r="G5" s="0"/>
      <c r="H5" s="6" t="n">
        <v>10</v>
      </c>
      <c r="I5" s="0" t="s">
        <v>878</v>
      </c>
      <c r="J5" s="0"/>
      <c r="K5" s="5" t="s">
        <f>=SUM(L2:L4)/SUM(K2:K4)</f>
      </c>
      <c r="L5" s="0" t="s">
        <v>11</v>
      </c>
      <c r="M5" s="11" t="n">
        <v>45506</v>
      </c>
      <c r="N5" s="6" t="n">
        <v>10</v>
      </c>
      <c r="O5" s="6" t="n">
        <v>1323.56</v>
      </c>
      <c r="P5" s="11" t="n">
        <v>45639</v>
      </c>
      <c r="Q5" s="6" t="n">
        <v>1</v>
      </c>
      <c r="R5" s="6" t="n">
        <v>563.79</v>
      </c>
      <c r="S5" s="11" t="n">
        <v>45418</v>
      </c>
      <c r="T5" s="6" t="n">
        <v>2</v>
      </c>
      <c r="U5" s="6" t="n">
        <v>1674.81</v>
      </c>
      <c r="V5" s="0"/>
      <c r="W5" s="5" t="s">
        <f>=SUM(X2:X4)/SUM(W2:W4)</f>
      </c>
      <c r="X5" s="0" t="s">
        <v>11</v>
      </c>
      <c r="Y5" s="0"/>
      <c r="Z5" s="6" t="n">
        <v>100</v>
      </c>
      <c r="AA5" s="0" t="s">
        <v>878</v>
      </c>
      <c r="AB5" s="11" t="n">
        <v>45198</v>
      </c>
      <c r="AC5" s="6" t="n">
        <v>100</v>
      </c>
      <c r="AD5" s="6" t="n">
        <v>429.94</v>
      </c>
      <c r="AE5" s="11" t="n">
        <v>45198</v>
      </c>
      <c r="AF5" s="6" t="n">
        <v>2</v>
      </c>
      <c r="AG5" s="6" t="n">
        <v>258.07</v>
      </c>
      <c r="AH5" s="0"/>
      <c r="AI5" s="6" t="n">
        <v>218.9</v>
      </c>
      <c r="AJ5" s="0" t="s">
        <v>877</v>
      </c>
      <c r="AK5" s="11" t="n">
        <v>45356</v>
      </c>
      <c r="AL5" s="6" t="n">
        <v>10</v>
      </c>
      <c r="AM5" s="6" t="n">
        <v>403.41</v>
      </c>
      <c r="AN5" s="0"/>
      <c r="AO5" s="6" t="n">
        <v>10</v>
      </c>
      <c r="AP5" s="0" t="s">
        <v>878</v>
      </c>
      <c r="AQ5" s="0"/>
      <c r="AR5" s="6" t="n">
        <v>16.018</v>
      </c>
      <c r="AS5" s="0" t="s">
        <v>877</v>
      </c>
      <c r="AT5" s="11" t="n">
        <v>45506</v>
      </c>
      <c r="AU5" s="6" t="n">
        <v>10</v>
      </c>
      <c r="AV5" s="6" t="n">
        <v>825.37</v>
      </c>
      <c r="AW5" s="0"/>
      <c r="AX5" s="6" t="n">
        <v>10</v>
      </c>
      <c r="AY5" s="0" t="s">
        <v>878</v>
      </c>
      <c r="AZ5" s="11" t="n">
        <v>45597</v>
      </c>
      <c r="BA5" s="6" t="n">
        <v>100</v>
      </c>
      <c r="BB5" s="6" t="n">
        <v>586.96</v>
      </c>
      <c r="BC5" s="0"/>
      <c r="BD5" s="6" t="n">
        <v>100</v>
      </c>
      <c r="BE5" s="0" t="s">
        <v>878</v>
      </c>
      <c r="BF5" s="0"/>
      <c r="BG5" s="6" t="n">
        <v>1000</v>
      </c>
      <c r="BH5" s="0" t="s">
        <v>878</v>
      </c>
      <c r="BI5" s="0"/>
      <c r="BJ5" s="6" t="n">
        <v>105.68</v>
      </c>
      <c r="BK5" s="0" t="s">
        <v>877</v>
      </c>
      <c r="BL5" s="0"/>
      <c r="BM5" s="6" t="n">
        <v>76.65</v>
      </c>
      <c r="BN5" s="0" t="s">
        <v>877</v>
      </c>
      <c r="BO5" s="0"/>
      <c r="BP5" s="6" t="n">
        <v>1000</v>
      </c>
      <c r="BQ5" s="0" t="s">
        <v>878</v>
      </c>
      <c r="BR5" s="0"/>
      <c r="BS5" s="6" t="n">
        <v>0.06542</v>
      </c>
      <c r="BT5" s="0" t="s">
        <v>877</v>
      </c>
      <c r="BU5" s="0"/>
      <c r="BV5" s="6" t="n">
        <v>10</v>
      </c>
      <c r="BW5" s="0" t="s">
        <v>878</v>
      </c>
      <c r="BX5" s="0"/>
      <c r="BY5" s="6" t="n">
        <v>1</v>
      </c>
      <c r="BZ5" s="0" t="s">
        <v>878</v>
      </c>
      <c r="CA5" s="0"/>
      <c r="CB5" s="5" t="s">
        <f>=SUM(CC2:CC4)/SUM(CB2:CB4)</f>
      </c>
      <c r="CC5" s="0" t="s">
        <v>11</v>
      </c>
      <c r="CD5" s="0"/>
      <c r="CE5" s="6" t="n">
        <v>0.4596</v>
      </c>
      <c r="CF5" s="0" t="s">
        <v>877</v>
      </c>
      <c r="CG5" s="0"/>
      <c r="CH5" s="6" t="n">
        <v>31.13</v>
      </c>
      <c r="CI5" s="0" t="s">
        <v>877</v>
      </c>
      <c r="CJ5" s="0"/>
      <c r="CK5" s="6" t="n">
        <v>10</v>
      </c>
      <c r="CL5" s="0" t="s">
        <v>878</v>
      </c>
      <c r="CM5" s="11" t="n">
        <v>44958</v>
      </c>
      <c r="CN5" s="6" t="n">
        <v>1</v>
      </c>
      <c r="CO5" s="6" t="n">
        <v>733.46</v>
      </c>
      <c r="CP5" s="11" t="n">
        <v>44929</v>
      </c>
      <c r="CQ5" s="6" t="n">
        <v>2</v>
      </c>
      <c r="CR5" s="6" t="n">
        <v>2115.05</v>
      </c>
      <c r="CS5" s="11" t="n">
        <v>45075</v>
      </c>
      <c r="CT5" s="6" t="n">
        <v>1</v>
      </c>
      <c r="CU5" s="6" t="n">
        <v>763.02</v>
      </c>
      <c r="CV5" s="11" t="n">
        <v>44950</v>
      </c>
      <c r="CW5" s="6" t="n">
        <v>1</v>
      </c>
      <c r="CX5" s="6" t="n">
        <v>1067.75</v>
      </c>
      <c r="CY5" s="11" t="n">
        <v>45006</v>
      </c>
      <c r="CZ5" s="6" t="n">
        <v>2</v>
      </c>
      <c r="DA5" s="6" t="n">
        <v>1553.86</v>
      </c>
      <c r="DB5" s="11" t="n">
        <v>45021</v>
      </c>
      <c r="DC5" s="6" t="n">
        <v>1</v>
      </c>
      <c r="DD5" s="6" t="n">
        <v>776.84</v>
      </c>
      <c r="DE5" s="11" t="n">
        <v>45240</v>
      </c>
      <c r="DF5" s="6" t="n">
        <v>1</v>
      </c>
      <c r="DG5" s="6" t="n">
        <v>844.62</v>
      </c>
      <c r="DH5" s="11" t="n">
        <v>45006</v>
      </c>
      <c r="DI5" s="6" t="n">
        <v>2</v>
      </c>
      <c r="DJ5" s="6" t="n">
        <v>1568.52</v>
      </c>
      <c r="DK5" s="11" t="n">
        <v>45351</v>
      </c>
      <c r="DL5" s="6" t="n">
        <v>1</v>
      </c>
      <c r="DM5" s="6" t="n">
        <v>849.91</v>
      </c>
      <c r="DN5" s="11" t="n">
        <v>45387</v>
      </c>
      <c r="DO5" s="6" t="n">
        <v>1</v>
      </c>
      <c r="DP5" s="6" t="n">
        <v>852.04</v>
      </c>
      <c r="DQ5" s="11" t="n">
        <v>45447</v>
      </c>
      <c r="DR5" s="6" t="n">
        <v>1</v>
      </c>
      <c r="DS5" s="6" t="n">
        <v>749.51</v>
      </c>
      <c r="DT5" s="11" t="n">
        <v>45702</v>
      </c>
      <c r="DU5" s="6" t="n">
        <v>1</v>
      </c>
      <c r="DV5" s="6" t="n">
        <v>857.06</v>
      </c>
      <c r="DW5" s="11" t="n">
        <v>45240</v>
      </c>
      <c r="DX5" s="6" t="n">
        <v>1</v>
      </c>
      <c r="DY5" s="6" t="n">
        <v>724.95</v>
      </c>
      <c r="DZ5" s="11" t="n">
        <v>45006</v>
      </c>
      <c r="EA5" s="6" t="n">
        <v>1</v>
      </c>
      <c r="EB5" s="6" t="n">
        <v>779.89</v>
      </c>
      <c r="EC5" s="11" t="n">
        <v>45378</v>
      </c>
      <c r="ED5" s="6" t="n">
        <v>1</v>
      </c>
      <c r="EE5" s="6" t="n">
        <v>898.85</v>
      </c>
      <c r="EF5" s="11" t="n">
        <v>45210</v>
      </c>
      <c r="EG5" s="6" t="n">
        <v>1</v>
      </c>
      <c r="EH5" s="6" t="n">
        <v>1075.09</v>
      </c>
      <c r="EI5" s="11" t="n">
        <v>45714</v>
      </c>
      <c r="EJ5" s="6" t="n">
        <v>1</v>
      </c>
      <c r="EK5" s="6" t="n">
        <v>858.07</v>
      </c>
      <c r="EL5" s="11" t="n">
        <v>45714</v>
      </c>
      <c r="EM5" s="6" t="n">
        <v>1</v>
      </c>
      <c r="EN5" s="6" t="n">
        <v>829.05</v>
      </c>
      <c r="EO5" s="11" t="n">
        <v>45146</v>
      </c>
      <c r="EP5" s="6" t="n">
        <v>1</v>
      </c>
      <c r="EQ5" s="6" t="n">
        <v>994.76</v>
      </c>
      <c r="ER5" s="11" t="n">
        <v>45030</v>
      </c>
      <c r="ES5" s="6" t="n">
        <v>1</v>
      </c>
      <c r="ET5" s="6" t="n">
        <v>1163.89</v>
      </c>
      <c r="EU5" s="11" t="n">
        <v>45756</v>
      </c>
      <c r="EV5" s="6" t="n">
        <v>1</v>
      </c>
      <c r="EW5" s="6" t="n">
        <v>834.81</v>
      </c>
      <c r="EX5" s="11" t="n">
        <v>45506</v>
      </c>
      <c r="EY5" s="6" t="n">
        <v>1</v>
      </c>
      <c r="EZ5" s="6" t="n">
        <v>815.29</v>
      </c>
      <c r="FA5" s="11" t="n">
        <v>45566</v>
      </c>
      <c r="FB5" s="6" t="n">
        <v>1</v>
      </c>
      <c r="FC5" s="6" t="n">
        <v>633.73</v>
      </c>
      <c r="FD5" s="0"/>
      <c r="FE5" s="5" t="s">
        <f>=SUM(FF2:FF4)/SUM(FE2:FE4)</f>
      </c>
      <c r="FF5" s="0" t="s">
        <v>11</v>
      </c>
      <c r="FG5" s="0"/>
      <c r="FH5" s="5" t="s">
        <f>=SUM(FI2:FI4)/SUM(FH2:FH4)</f>
      </c>
      <c r="FI5" s="0" t="s">
        <v>11</v>
      </c>
      <c r="FJ5" s="0"/>
      <c r="FK5" s="6" t="n">
        <v>2</v>
      </c>
      <c r="FL5" s="0" t="s">
        <v>878</v>
      </c>
      <c r="FM5" s="0"/>
      <c r="FN5" s="5" t="s">
        <f>=SUM(FO2:FO4)/SUM(FN2:FN4)</f>
      </c>
      <c r="FO5" s="0" t="s">
        <v>11</v>
      </c>
      <c r="FP5" s="0"/>
      <c r="FQ5" s="6" t="n">
        <v>2</v>
      </c>
      <c r="FR5" s="0" t="s">
        <v>878</v>
      </c>
      <c r="FS5" s="0"/>
      <c r="FT5" s="6" t="n">
        <v>99.17</v>
      </c>
      <c r="FU5" s="0" t="s">
        <v>877</v>
      </c>
      <c r="FV5" s="0"/>
      <c r="FW5" s="6" t="n">
        <v>2</v>
      </c>
      <c r="FX5" s="0" t="s">
        <v>878</v>
      </c>
      <c r="FY5" s="0"/>
      <c r="FZ5" s="6" t="n">
        <v>94.2</v>
      </c>
      <c r="GA5" s="0" t="s">
        <v>877</v>
      </c>
      <c r="GB5" s="0"/>
      <c r="GC5" s="6" t="n">
        <v>92.29</v>
      </c>
      <c r="GD5" s="0" t="s">
        <v>877</v>
      </c>
      <c r="GE5" s="0"/>
      <c r="GF5" s="6" t="n">
        <v>90.23</v>
      </c>
      <c r="GG5" s="0" t="s">
        <v>877</v>
      </c>
      <c r="GH5" s="0"/>
      <c r="GI5" s="6" t="n">
        <v>84.74</v>
      </c>
      <c r="GJ5" s="0" t="s">
        <v>877</v>
      </c>
      <c r="GK5" s="0"/>
      <c r="GL5" s="6" t="n">
        <v>82.26</v>
      </c>
      <c r="GM5" s="0" t="s">
        <v>877</v>
      </c>
      <c r="GN5" s="0"/>
      <c r="GO5" s="6" t="n">
        <v>80.82</v>
      </c>
      <c r="GP5" s="0" t="s">
        <v>877</v>
      </c>
      <c r="GQ5" s="0"/>
      <c r="GR5" s="6" t="n">
        <v>81.59</v>
      </c>
      <c r="GS5" s="0" t="s">
        <v>877</v>
      </c>
      <c r="GT5" s="0"/>
      <c r="GU5" s="6" t="n">
        <v>79.25</v>
      </c>
      <c r="GV5" s="0" t="s">
        <v>877</v>
      </c>
      <c r="GW5" s="0"/>
      <c r="GX5" s="6" t="n">
        <v>74.59</v>
      </c>
      <c r="GY5" s="0" t="s">
        <v>877</v>
      </c>
      <c r="GZ5" s="0"/>
      <c r="HA5" s="6" t="n">
        <v>2</v>
      </c>
      <c r="HB5" s="0" t="s">
        <v>878</v>
      </c>
      <c r="HC5" s="0"/>
      <c r="HD5" s="6" t="n">
        <v>1</v>
      </c>
      <c r="HE5" s="0" t="s">
        <v>878</v>
      </c>
      <c r="HF5" s="0"/>
      <c r="HG5" s="6" t="n">
        <v>1</v>
      </c>
      <c r="HH5" s="0" t="s">
        <v>878</v>
      </c>
      <c r="HI5" s="0"/>
      <c r="HJ5" s="6" t="n">
        <v>1</v>
      </c>
      <c r="HK5" s="0" t="s">
        <v>878</v>
      </c>
      <c r="HL5" s="0"/>
      <c r="HM5" s="6" t="n">
        <v>1</v>
      </c>
      <c r="HN5" s="0" t="s">
        <v>878</v>
      </c>
      <c r="HO5" s="0"/>
      <c r="HP5" s="6" t="n">
        <v>1</v>
      </c>
      <c r="HQ5" s="0" t="s">
        <v>878</v>
      </c>
      <c r="HR5" s="0"/>
      <c r="HS5" s="6" t="n">
        <v>1</v>
      </c>
      <c r="HT5" s="0" t="s">
        <v>878</v>
      </c>
      <c r="HU5" s="0"/>
      <c r="HV5" s="6" t="n">
        <v>1</v>
      </c>
      <c r="HW5" s="0" t="s">
        <v>878</v>
      </c>
      <c r="HX5" s="0"/>
      <c r="HY5" s="6" t="n">
        <v>1</v>
      </c>
      <c r="HZ5" s="0" t="s">
        <v>878</v>
      </c>
      <c r="IA5" s="0"/>
      <c r="IB5" s="6" t="n">
        <v>1</v>
      </c>
      <c r="IC5" s="0" t="s">
        <v>878</v>
      </c>
      <c r="ID5" s="0"/>
      <c r="IE5" s="6" t="n">
        <v>1</v>
      </c>
      <c r="IF5" s="0" t="s">
        <v>878</v>
      </c>
      <c r="IG5" s="0"/>
      <c r="IH5" s="6" t="n">
        <v>1</v>
      </c>
      <c r="II5" s="0" t="s">
        <v>878</v>
      </c>
      <c r="IJ5" s="0"/>
      <c r="IK5" s="6" t="n">
        <v>1</v>
      </c>
      <c r="IL5" s="0" t="s">
        <v>878</v>
      </c>
      <c r="IM5" s="0"/>
      <c r="IN5" s="6" t="n">
        <v>1</v>
      </c>
      <c r="IO5" s="0" t="s">
        <v>878</v>
      </c>
      <c r="IP5" s="0"/>
      <c r="IQ5" s="6" t="n">
        <v>1</v>
      </c>
      <c r="IR5" s="0" t="s">
        <v>878</v>
      </c>
      <c r="IS5" s="0"/>
      <c r="IT5" s="6" t="n">
        <v>1</v>
      </c>
      <c r="IU5" s="0" t="s">
        <v>878</v>
      </c>
      <c r="IV5" s="0"/>
      <c r="IW5" s="6" t="n">
        <v>1</v>
      </c>
      <c r="IX5" s="0" t="s">
        <v>878</v>
      </c>
      <c r="IY5" s="0"/>
      <c r="IZ5" s="6" t="n">
        <v>1</v>
      </c>
      <c r="JA5" s="0" t="s">
        <v>878</v>
      </c>
      <c r="JB5" s="0"/>
      <c r="JC5" s="6" t="n">
        <v>1</v>
      </c>
      <c r="JD5" s="0" t="s">
        <v>878</v>
      </c>
      <c r="JE5" s="0"/>
      <c r="JF5" s="6" t="n">
        <v>1</v>
      </c>
      <c r="JG5" s="0" t="s">
        <v>878</v>
      </c>
      <c r="JH5" s="0"/>
      <c r="JI5" s="6" t="n">
        <v>1</v>
      </c>
      <c r="JJ5" s="0" t="s">
        <v>878</v>
      </c>
      <c r="JK5" s="0"/>
      <c r="JL5" s="6" t="n">
        <v>1</v>
      </c>
      <c r="JM5" s="0" t="s">
        <v>878</v>
      </c>
      <c r="JN5" s="0"/>
      <c r="JO5" s="6" t="n">
        <v>1</v>
      </c>
      <c r="JP5" s="0" t="s">
        <v>878</v>
      </c>
      <c r="JQ5" s="0"/>
      <c r="JR5" s="6" t="n">
        <v>1</v>
      </c>
      <c r="JS5" s="0" t="s">
        <v>878</v>
      </c>
      <c r="JT5" s="0"/>
      <c r="JU5" s="6" t="n">
        <v>1</v>
      </c>
      <c r="JV5" s="0" t="s">
        <v>878</v>
      </c>
      <c r="JW5" s="0"/>
      <c r="JX5" s="6" t="n">
        <v>1</v>
      </c>
      <c r="JY5" s="0" t="s">
        <v>878</v>
      </c>
      <c r="JZ5" s="0"/>
      <c r="KA5" s="6" t="n">
        <v>1</v>
      </c>
      <c r="KB5" s="0" t="s">
        <v>878</v>
      </c>
      <c r="KC5" s="0"/>
      <c r="KD5" s="6" t="n">
        <v>1</v>
      </c>
      <c r="KE5" s="0" t="s">
        <v>878</v>
      </c>
      <c r="KF5" s="0"/>
      <c r="KG5" s="6" t="n">
        <v>1</v>
      </c>
      <c r="KH5" s="0" t="s">
        <v>878</v>
      </c>
      <c r="KI5" s="0"/>
      <c r="KJ5" s="6" t="n">
        <v>1</v>
      </c>
      <c r="KK5" s="0" t="s">
        <v>878</v>
      </c>
      <c r="KL5" s="0"/>
      <c r="KM5" s="6" t="n">
        <v>1</v>
      </c>
      <c r="KN5" s="0" t="s">
        <v>878</v>
      </c>
      <c r="KO5" s="0"/>
      <c r="KP5" s="6" t="n">
        <v>1</v>
      </c>
      <c r="KQ5" s="0" t="s">
        <v>878</v>
      </c>
      <c r="KR5" s="0"/>
      <c r="KS5" s="6" t="n">
        <v>1</v>
      </c>
      <c r="KT5" s="0" t="s">
        <v>878</v>
      </c>
      <c r="KU5" s="0"/>
      <c r="KV5" s="6" t="n">
        <v>1</v>
      </c>
      <c r="KW5" s="0" t="s">
        <v>878</v>
      </c>
      <c r="KX5" s="0"/>
      <c r="KY5" s="6" t="n">
        <v>1</v>
      </c>
      <c r="KZ5" s="0" t="s">
        <v>878</v>
      </c>
      <c r="LA5" s="0"/>
      <c r="LB5" s="6" t="n">
        <v>1</v>
      </c>
      <c r="LC5" s="0" t="s">
        <v>878</v>
      </c>
      <c r="LD5" s="0"/>
      <c r="LE5" s="6" t="n">
        <v>1</v>
      </c>
      <c r="LF5" s="0" t="s">
        <v>878</v>
      </c>
    </row>
    <row collapsed="false" customFormat="false" customHeight="false" hidden="false" ht="12.1" outlineLevel="0" r="6">
      <c r="A6" s="11" t="n">
        <v>45056</v>
      </c>
      <c r="B6" s="6" t="n">
        <v>10</v>
      </c>
      <c r="C6" s="6" t="n">
        <v>2223.15</v>
      </c>
      <c r="D6" s="0"/>
      <c r="E6" s="5" t="s">
        <f>=SUM(F2:F5)/SUM(E2:E5)</f>
      </c>
      <c r="F6" s="0" t="s">
        <v>11</v>
      </c>
      <c r="G6" s="0"/>
      <c r="H6" s="5" t="s">
        <f>=H5*(ABS(H4)-ABS(H3))</f>
      </c>
      <c r="I6" s="0" t="s">
        <v>879</v>
      </c>
      <c r="J6" s="0"/>
      <c r="K6" s="6" t="n">
        <v>307.1</v>
      </c>
      <c r="L6" s="0" t="s">
        <v>877</v>
      </c>
      <c r="M6" s="11" t="n">
        <v>45597</v>
      </c>
      <c r="N6" s="6" t="n">
        <v>10</v>
      </c>
      <c r="O6" s="6" t="n">
        <v>1236.7</v>
      </c>
      <c r="P6" s="11" t="n">
        <v>45729</v>
      </c>
      <c r="Q6" s="6" t="n">
        <v>1</v>
      </c>
      <c r="R6" s="6" t="n">
        <v>697.19</v>
      </c>
      <c r="S6" s="11" t="n">
        <v>45506</v>
      </c>
      <c r="T6" s="6" t="n">
        <v>4</v>
      </c>
      <c r="U6" s="6" t="n">
        <v>3013.81</v>
      </c>
      <c r="V6" s="0"/>
      <c r="W6" s="6" t="n">
        <v>187.55</v>
      </c>
      <c r="X6" s="0" t="s">
        <v>877</v>
      </c>
      <c r="Y6" s="0"/>
      <c r="Z6" s="5" t="s">
        <f>=Z5*(ABS(Z4)-ABS(Z3))</f>
      </c>
      <c r="AA6" s="0" t="s">
        <v>879</v>
      </c>
      <c r="AB6" s="11" t="n">
        <v>45219</v>
      </c>
      <c r="AC6" s="6" t="n">
        <v>200</v>
      </c>
      <c r="AD6" s="6" t="n">
        <v>886.15</v>
      </c>
      <c r="AE6" s="11" t="n">
        <v>45219</v>
      </c>
      <c r="AF6" s="6" t="n">
        <v>4</v>
      </c>
      <c r="AG6" s="6" t="n">
        <v>520.96</v>
      </c>
      <c r="AH6" s="0"/>
      <c r="AI6" s="6" t="n">
        <v>20</v>
      </c>
      <c r="AJ6" s="0" t="s">
        <v>878</v>
      </c>
      <c r="AK6" s="11" t="n">
        <v>45541</v>
      </c>
      <c r="AL6" s="6" t="n">
        <v>10</v>
      </c>
      <c r="AM6" s="6" t="n">
        <v>479.63</v>
      </c>
      <c r="AN6" s="0"/>
      <c r="AO6" s="5" t="s">
        <f>=AO5*(ABS(AO4)-ABS(AO3))</f>
      </c>
      <c r="AP6" s="0" t="s">
        <v>879</v>
      </c>
      <c r="AQ6" s="0"/>
      <c r="AR6" s="6" t="n">
        <v>200</v>
      </c>
      <c r="AS6" s="0" t="s">
        <v>878</v>
      </c>
      <c r="AT6" s="11" t="n">
        <v>45639</v>
      </c>
      <c r="AU6" s="6" t="n">
        <v>10</v>
      </c>
      <c r="AV6" s="6" t="n">
        <v>511.73</v>
      </c>
      <c r="AW6" s="0"/>
      <c r="AX6" s="5" t="s">
        <f>=AX5*(ABS(AX4)-ABS(AX3))</f>
      </c>
      <c r="AY6" s="0" t="s">
        <v>879</v>
      </c>
      <c r="AZ6" s="0"/>
      <c r="BA6" s="5" t="s">
        <f>=SUM(BB2:BB5)/SUM(BA2:BA5)</f>
      </c>
      <c r="BB6" s="0" t="s">
        <v>11</v>
      </c>
      <c r="BC6" s="0"/>
      <c r="BD6" s="5" t="s">
        <f>=BD5*(ABS(BD4)-ABS(BD3))</f>
      </c>
      <c r="BE6" s="0" t="s">
        <v>879</v>
      </c>
      <c r="BF6" s="0"/>
      <c r="BG6" s="5" t="s">
        <f>=BG5*(ABS(BG4)-ABS(BG3))</f>
      </c>
      <c r="BH6" s="0" t="s">
        <v>879</v>
      </c>
      <c r="BI6" s="0"/>
      <c r="BJ6" s="6" t="n">
        <v>20</v>
      </c>
      <c r="BK6" s="0" t="s">
        <v>878</v>
      </c>
      <c r="BL6" s="0"/>
      <c r="BM6" s="6" t="n">
        <v>20</v>
      </c>
      <c r="BN6" s="0" t="s">
        <v>878</v>
      </c>
      <c r="BO6" s="0"/>
      <c r="BP6" s="5" t="s">
        <f>=BP5*(ABS(BP4)-ABS(BP3))</f>
      </c>
      <c r="BQ6" s="0" t="s">
        <v>879</v>
      </c>
      <c r="BR6" s="0"/>
      <c r="BS6" s="6" t="n">
        <v>20000</v>
      </c>
      <c r="BT6" s="0" t="s">
        <v>878</v>
      </c>
      <c r="BU6" s="0"/>
      <c r="BV6" s="5" t="s">
        <f>=BV5*(ABS(BV4)-ABS(BV3))</f>
      </c>
      <c r="BW6" s="0" t="s">
        <v>879</v>
      </c>
      <c r="BX6" s="0"/>
      <c r="BY6" s="5" t="s">
        <f>=BY5*(ABS(BY4)-ABS(BY3))</f>
      </c>
      <c r="BZ6" s="0" t="s">
        <v>879</v>
      </c>
      <c r="CA6" s="0"/>
      <c r="CB6" s="6" t="n">
        <v>31.3</v>
      </c>
      <c r="CC6" s="0" t="s">
        <v>877</v>
      </c>
      <c r="CD6" s="0"/>
      <c r="CE6" s="6" t="n">
        <v>2000</v>
      </c>
      <c r="CF6" s="0" t="s">
        <v>878</v>
      </c>
      <c r="CG6" s="0"/>
      <c r="CH6" s="6" t="n">
        <v>20</v>
      </c>
      <c r="CI6" s="0" t="s">
        <v>878</v>
      </c>
      <c r="CJ6" s="0"/>
      <c r="CK6" s="5" t="s">
        <f>=CK5*(ABS(CK4)-ABS(CK3))</f>
      </c>
      <c r="CL6" s="0" t="s">
        <v>879</v>
      </c>
      <c r="CM6" s="11" t="n">
        <v>45061</v>
      </c>
      <c r="CN6" s="6" t="n">
        <v>2</v>
      </c>
      <c r="CO6" s="6" t="n">
        <v>1463.11</v>
      </c>
      <c r="CP6" s="11" t="n">
        <v>45098</v>
      </c>
      <c r="CQ6" s="6" t="n">
        <v>1</v>
      </c>
      <c r="CR6" s="6" t="n">
        <v>1075.01</v>
      </c>
      <c r="CS6" s="11" t="n">
        <v>45084</v>
      </c>
      <c r="CT6" s="6" t="n">
        <v>1</v>
      </c>
      <c r="CU6" s="6" t="n">
        <v>726.23</v>
      </c>
      <c r="CV6" s="11" t="n">
        <v>45063</v>
      </c>
      <c r="CW6" s="6" t="n">
        <v>1</v>
      </c>
      <c r="CX6" s="6" t="n">
        <v>1067.75</v>
      </c>
      <c r="CY6" s="11" t="n">
        <v>45082</v>
      </c>
      <c r="CZ6" s="6" t="n">
        <v>2</v>
      </c>
      <c r="DA6" s="6" t="n">
        <v>1541.26</v>
      </c>
      <c r="DB6" s="11" t="n">
        <v>45184</v>
      </c>
      <c r="DC6" s="6" t="n">
        <v>1</v>
      </c>
      <c r="DD6" s="6" t="n">
        <v>776.85</v>
      </c>
      <c r="DE6" s="11" t="n">
        <v>45351</v>
      </c>
      <c r="DF6" s="6" t="n">
        <v>1</v>
      </c>
      <c r="DG6" s="6" t="n">
        <v>840.66</v>
      </c>
      <c r="DH6" s="11" t="n">
        <v>45007</v>
      </c>
      <c r="DI6" s="6" t="n">
        <v>1</v>
      </c>
      <c r="DJ6" s="6" t="n">
        <v>763.63</v>
      </c>
      <c r="DK6" s="11" t="n">
        <v>45356</v>
      </c>
      <c r="DL6" s="6" t="n">
        <v>1</v>
      </c>
      <c r="DM6" s="6" t="n">
        <v>809.72</v>
      </c>
      <c r="DN6" s="11" t="n">
        <v>45387</v>
      </c>
      <c r="DO6" s="6" t="n">
        <v>1</v>
      </c>
      <c r="DP6" s="6" t="n">
        <v>851.49</v>
      </c>
      <c r="DQ6" s="11" t="n">
        <v>45447</v>
      </c>
      <c r="DR6" s="6" t="n">
        <v>1</v>
      </c>
      <c r="DS6" s="6" t="n">
        <v>746.13</v>
      </c>
      <c r="DT6" s="11" t="n">
        <v>45702</v>
      </c>
      <c r="DU6" s="6" t="n">
        <v>1</v>
      </c>
      <c r="DV6" s="6" t="n">
        <v>822.39</v>
      </c>
      <c r="DW6" s="11" t="n">
        <v>45385</v>
      </c>
      <c r="DX6" s="6" t="n">
        <v>1</v>
      </c>
      <c r="DY6" s="6" t="n">
        <v>690.86</v>
      </c>
      <c r="DZ6" s="11" t="n">
        <v>45070</v>
      </c>
      <c r="EA6" s="6" t="n">
        <v>1</v>
      </c>
      <c r="EB6" s="6" t="n">
        <v>780.39</v>
      </c>
      <c r="EC6" s="11" t="n">
        <v>45387</v>
      </c>
      <c r="ED6" s="6" t="n">
        <v>1</v>
      </c>
      <c r="EE6" s="6" t="n">
        <v>898.68</v>
      </c>
      <c r="EF6" s="11" t="n">
        <v>45392</v>
      </c>
      <c r="EG6" s="6" t="n">
        <v>1</v>
      </c>
      <c r="EH6" s="6" t="n">
        <v>1099.94</v>
      </c>
      <c r="EI6" s="11" t="n">
        <v>45714</v>
      </c>
      <c r="EJ6" s="6" t="n">
        <v>1</v>
      </c>
      <c r="EK6" s="6" t="n">
        <v>858.07</v>
      </c>
      <c r="EL6" s="11" t="n">
        <v>45714</v>
      </c>
      <c r="EM6" s="6" t="n">
        <v>1</v>
      </c>
      <c r="EN6" s="6" t="n">
        <v>829.25</v>
      </c>
      <c r="EO6" s="11" t="n">
        <v>45252</v>
      </c>
      <c r="EP6" s="6" t="n">
        <v>1</v>
      </c>
      <c r="EQ6" s="6" t="n">
        <v>926.38</v>
      </c>
      <c r="ER6" s="0"/>
      <c r="ES6" s="5" t="s">
        <f>=SUM(ET2:ET5)/SUM(ES2:ES5)</f>
      </c>
      <c r="ET6" s="0" t="s">
        <v>11</v>
      </c>
      <c r="EU6" s="0"/>
      <c r="EV6" s="5" t="s">
        <f>=SUM(EW2:EW5)/SUM(EV2:EV5)</f>
      </c>
      <c r="EW6" s="0" t="s">
        <v>11</v>
      </c>
      <c r="EX6" s="0"/>
      <c r="EY6" s="5" t="s">
        <f>=SUM(EZ2:EZ5)/SUM(EY2:EY5)</f>
      </c>
      <c r="EZ6" s="0" t="s">
        <v>11</v>
      </c>
      <c r="FA6" s="0"/>
      <c r="FB6" s="5" t="s">
        <f>=SUM(FC2:FC5)/SUM(FB2:FB5)</f>
      </c>
      <c r="FC6" s="0" t="s">
        <v>11</v>
      </c>
      <c r="FD6" s="0"/>
      <c r="FE6" s="6" t="n">
        <v>87.09</v>
      </c>
      <c r="FF6" s="0" t="s">
        <v>877</v>
      </c>
      <c r="FG6" s="0"/>
      <c r="FH6" s="6" t="n">
        <v>87</v>
      </c>
      <c r="FI6" s="0" t="s">
        <v>877</v>
      </c>
      <c r="FJ6" s="0"/>
      <c r="FK6" s="6" t="s">
        <f>=Портфель!G58*Портфель!$Q$13</f>
      </c>
      <c r="FL6" s="0" t="s">
        <v>6</v>
      </c>
      <c r="FM6" s="0"/>
      <c r="FN6" s="6" t="n">
        <v>85.21</v>
      </c>
      <c r="FO6" s="0" t="s">
        <v>877</v>
      </c>
      <c r="FP6" s="0"/>
      <c r="FQ6" s="6" t="s">
        <f>=Портфель!G60*Портфель!$Q$13</f>
      </c>
      <c r="FR6" s="0" t="s">
        <v>6</v>
      </c>
      <c r="FS6" s="0"/>
      <c r="FT6" s="6" t="n">
        <v>2</v>
      </c>
      <c r="FU6" s="0" t="s">
        <v>878</v>
      </c>
      <c r="FV6" s="0"/>
      <c r="FW6" s="6" t="s">
        <f>=Портфель!G62*Портфель!$Q$13</f>
      </c>
      <c r="FX6" s="0" t="s">
        <v>6</v>
      </c>
      <c r="FY6" s="0"/>
      <c r="FZ6" s="6" t="n">
        <v>2</v>
      </c>
      <c r="GA6" s="0" t="s">
        <v>878</v>
      </c>
      <c r="GB6" s="0"/>
      <c r="GC6" s="6" t="n">
        <v>2</v>
      </c>
      <c r="GD6" s="0" t="s">
        <v>878</v>
      </c>
      <c r="GE6" s="0"/>
      <c r="GF6" s="6" t="n">
        <v>2</v>
      </c>
      <c r="GG6" s="0" t="s">
        <v>878</v>
      </c>
      <c r="GH6" s="0"/>
      <c r="GI6" s="6" t="n">
        <v>2</v>
      </c>
      <c r="GJ6" s="0" t="s">
        <v>878</v>
      </c>
      <c r="GK6" s="0"/>
      <c r="GL6" s="6" t="n">
        <v>2</v>
      </c>
      <c r="GM6" s="0" t="s">
        <v>878</v>
      </c>
      <c r="GN6" s="0"/>
      <c r="GO6" s="6" t="n">
        <v>2</v>
      </c>
      <c r="GP6" s="0" t="s">
        <v>878</v>
      </c>
      <c r="GQ6" s="0"/>
      <c r="GR6" s="6" t="n">
        <v>2</v>
      </c>
      <c r="GS6" s="0" t="s">
        <v>878</v>
      </c>
      <c r="GT6" s="0"/>
      <c r="GU6" s="6" t="n">
        <v>2</v>
      </c>
      <c r="GV6" s="0" t="s">
        <v>878</v>
      </c>
      <c r="GW6" s="0"/>
      <c r="GX6" s="6" t="n">
        <v>2</v>
      </c>
      <c r="GY6" s="0" t="s">
        <v>878</v>
      </c>
      <c r="GZ6" s="0"/>
      <c r="HA6" s="6" t="s">
        <f>=Портфель!G72*Портфель!$Q$13</f>
      </c>
      <c r="HB6" s="0" t="s">
        <v>6</v>
      </c>
      <c r="HC6" s="0"/>
      <c r="HD6" s="6" t="s">
        <f>=Портфель!G73*Портфель!$Q$13</f>
      </c>
      <c r="HE6" s="0" t="s">
        <v>6</v>
      </c>
      <c r="HF6" s="0"/>
      <c r="HG6" s="6" t="s">
        <f>=Портфель!G74*Портфель!$Q$13</f>
      </c>
      <c r="HH6" s="0" t="s">
        <v>6</v>
      </c>
      <c r="HI6" s="0"/>
      <c r="HJ6" s="6" t="s">
        <f>=Портфель!G75*Портфель!$Q$13</f>
      </c>
      <c r="HK6" s="0" t="s">
        <v>6</v>
      </c>
      <c r="HL6" s="0"/>
      <c r="HM6" s="6" t="s">
        <f>=Портфель!G76*Портфель!$Q$13</f>
      </c>
      <c r="HN6" s="0" t="s">
        <v>6</v>
      </c>
      <c r="HO6" s="0"/>
      <c r="HP6" s="6" t="s">
        <f>=Портфель!G77*Портфель!$Q$13</f>
      </c>
      <c r="HQ6" s="0" t="s">
        <v>6</v>
      </c>
      <c r="HR6" s="0"/>
      <c r="HS6" s="6" t="s">
        <f>=Портфель!G78*Портфель!$Q$13</f>
      </c>
      <c r="HT6" s="0" t="s">
        <v>6</v>
      </c>
      <c r="HU6" s="0"/>
      <c r="HV6" s="6" t="s">
        <f>=Портфель!G79*Портфель!$Q$13</f>
      </c>
      <c r="HW6" s="0" t="s">
        <v>6</v>
      </c>
      <c r="HX6" s="0"/>
      <c r="HY6" s="6" t="s">
        <f>=Портфель!G80*Портфель!$Q$13</f>
      </c>
      <c r="HZ6" s="0" t="s">
        <v>6</v>
      </c>
      <c r="IA6" s="0"/>
      <c r="IB6" s="6" t="s">
        <f>=Портфель!G81*Портфель!$Q$13</f>
      </c>
      <c r="IC6" s="0" t="s">
        <v>6</v>
      </c>
      <c r="ID6" s="0"/>
      <c r="IE6" s="6" t="s">
        <f>=Портфель!G82*Портфель!$Q$13</f>
      </c>
      <c r="IF6" s="0" t="s">
        <v>6</v>
      </c>
      <c r="IG6" s="0"/>
      <c r="IH6" s="6" t="s">
        <f>=Портфель!G83*Портфель!$Q$13</f>
      </c>
      <c r="II6" s="0" t="s">
        <v>6</v>
      </c>
      <c r="IJ6" s="0"/>
      <c r="IK6" s="6" t="s">
        <f>=Портфель!G84*Портфель!$Q$13</f>
      </c>
      <c r="IL6" s="0" t="s">
        <v>6</v>
      </c>
      <c r="IM6" s="0"/>
      <c r="IN6" s="6" t="s">
        <f>=Портфель!G85*Портфель!$Q$13</f>
      </c>
      <c r="IO6" s="0" t="s">
        <v>6</v>
      </c>
      <c r="IP6" s="0"/>
      <c r="IQ6" s="6" t="s">
        <f>=Портфель!G86*Портфель!$Q$13</f>
      </c>
      <c r="IR6" s="0" t="s">
        <v>6</v>
      </c>
      <c r="IS6" s="0"/>
      <c r="IT6" s="6" t="s">
        <f>=Портфель!G87*Портфель!$Q$13</f>
      </c>
      <c r="IU6" s="0" t="s">
        <v>6</v>
      </c>
      <c r="IV6" s="0"/>
      <c r="IW6" s="6" t="s">
        <f>=Портфель!G88*Портфель!$Q$13</f>
      </c>
      <c r="IX6" s="0" t="s">
        <v>6</v>
      </c>
      <c r="IY6" s="0"/>
      <c r="IZ6" s="6" t="s">
        <f>=Портфель!G89*Портфель!$Q$13</f>
      </c>
      <c r="JA6" s="0" t="s">
        <v>6</v>
      </c>
      <c r="JB6" s="0"/>
      <c r="JC6" s="6" t="s">
        <f>=Портфель!G90*Портфель!$Q$13</f>
      </c>
      <c r="JD6" s="0" t="s">
        <v>6</v>
      </c>
      <c r="JE6" s="0"/>
      <c r="JF6" s="6" t="s">
        <f>=Портфель!G91*Портфель!$Q$13</f>
      </c>
      <c r="JG6" s="0" t="s">
        <v>6</v>
      </c>
      <c r="JH6" s="0"/>
      <c r="JI6" s="6" t="s">
        <f>=Портфель!G92*Портфель!$Q$13</f>
      </c>
      <c r="JJ6" s="0" t="s">
        <v>6</v>
      </c>
      <c r="JK6" s="0"/>
      <c r="JL6" s="6" t="s">
        <f>=Портфель!G93*Портфель!$Q$13</f>
      </c>
      <c r="JM6" s="0" t="s">
        <v>6</v>
      </c>
      <c r="JN6" s="0"/>
      <c r="JO6" s="6" t="s">
        <f>=Портфель!G94*Портфель!$Q$13</f>
      </c>
      <c r="JP6" s="0" t="s">
        <v>6</v>
      </c>
      <c r="JQ6" s="0"/>
      <c r="JR6" s="6" t="s">
        <f>=Портфель!G95*Портфель!$Q$13</f>
      </c>
      <c r="JS6" s="0" t="s">
        <v>6</v>
      </c>
      <c r="JT6" s="0"/>
      <c r="JU6" s="6" t="s">
        <f>=Портфель!G96*Портфель!$Q$13</f>
      </c>
      <c r="JV6" s="0" t="s">
        <v>6</v>
      </c>
      <c r="JW6" s="0"/>
      <c r="JX6" s="6" t="s">
        <f>=Портфель!G97*Портфель!$Q$13</f>
      </c>
      <c r="JY6" s="0" t="s">
        <v>6</v>
      </c>
      <c r="JZ6" s="0"/>
      <c r="KA6" s="6" t="s">
        <f>=Портфель!G98*Портфель!$Q$13</f>
      </c>
      <c r="KB6" s="0" t="s">
        <v>6</v>
      </c>
      <c r="KC6" s="0"/>
      <c r="KD6" s="6" t="s">
        <f>=Портфель!G99*Портфель!$Q$13</f>
      </c>
      <c r="KE6" s="0" t="s">
        <v>6</v>
      </c>
      <c r="KF6" s="0"/>
      <c r="KG6" s="6" t="s">
        <f>=Портфель!G100*Портфель!$Q$13</f>
      </c>
      <c r="KH6" s="0" t="s">
        <v>6</v>
      </c>
      <c r="KI6" s="0"/>
      <c r="KJ6" s="6" t="s">
        <f>=Портфель!G101*Портфель!$Q$13</f>
      </c>
      <c r="KK6" s="0" t="s">
        <v>6</v>
      </c>
      <c r="KL6" s="0"/>
      <c r="KM6" s="6" t="s">
        <f>=Портфель!G102*Портфель!$Q$13</f>
      </c>
      <c r="KN6" s="0" t="s">
        <v>6</v>
      </c>
      <c r="KO6" s="0"/>
      <c r="KP6" s="6" t="s">
        <f>=Портфель!G103*Портфель!$Q$13</f>
      </c>
      <c r="KQ6" s="0" t="s">
        <v>6</v>
      </c>
      <c r="KR6" s="0"/>
      <c r="KS6" s="6" t="s">
        <f>=Портфель!G104*Портфель!$Q$13</f>
      </c>
      <c r="KT6" s="0" t="s">
        <v>6</v>
      </c>
      <c r="KU6" s="0"/>
      <c r="KV6" s="6" t="s">
        <f>=Портфель!G105*Портфель!$Q$13</f>
      </c>
      <c r="KW6" s="0" t="s">
        <v>6</v>
      </c>
      <c r="KX6" s="0"/>
      <c r="KY6" s="6" t="s">
        <f>=Портфель!G106*Портфель!$Q$13</f>
      </c>
      <c r="KZ6" s="0" t="s">
        <v>6</v>
      </c>
      <c r="LA6" s="0"/>
      <c r="LB6" s="6" t="s">
        <f>=Портфель!G107*Портфель!$Q$13</f>
      </c>
      <c r="LC6" s="0" t="s">
        <v>6</v>
      </c>
      <c r="LD6" s="0"/>
      <c r="LE6" s="6" t="s">
        <f>=Портфель!G108*Портфель!$Q$13</f>
      </c>
      <c r="LF6" s="0" t="s">
        <v>6</v>
      </c>
    </row>
    <row collapsed="false" customFormat="false" customHeight="false" hidden="false" ht="12.1" outlineLevel="0" r="7">
      <c r="A7" s="11" t="n">
        <v>45198</v>
      </c>
      <c r="B7" s="6" t="n">
        <v>10</v>
      </c>
      <c r="C7" s="6" t="n">
        <v>2615.22</v>
      </c>
      <c r="D7" s="0"/>
      <c r="E7" s="6" t="n">
        <v>3185</v>
      </c>
      <c r="F7" s="0" t="s">
        <v>877</v>
      </c>
      <c r="G7" s="0"/>
      <c r="H7" s="0"/>
      <c r="I7" s="0"/>
      <c r="J7" s="0"/>
      <c r="K7" s="6" t="n">
        <v>30</v>
      </c>
      <c r="L7" s="0" t="s">
        <v>878</v>
      </c>
      <c r="M7" s="11" t="n">
        <v>45729</v>
      </c>
      <c r="N7" s="6" t="n">
        <v>10</v>
      </c>
      <c r="O7" s="6" t="n">
        <v>1644.22</v>
      </c>
      <c r="P7" s="0"/>
      <c r="Q7" s="5" t="s">
        <f>=SUM(R2:R6)/SUM(Q2:Q6)</f>
      </c>
      <c r="R7" s="0" t="s">
        <v>11</v>
      </c>
      <c r="S7" s="0"/>
      <c r="T7" s="5" t="s">
        <f>=SUM(U2:U6)/SUM(T2:T6)</f>
      </c>
      <c r="U7" s="0" t="s">
        <v>11</v>
      </c>
      <c r="V7" s="0"/>
      <c r="W7" s="6" t="n">
        <v>30</v>
      </c>
      <c r="X7" s="0" t="s">
        <v>878</v>
      </c>
      <c r="Y7" s="0"/>
      <c r="Z7" s="0"/>
      <c r="AA7" s="0"/>
      <c r="AB7" s="11" t="n">
        <v>45244</v>
      </c>
      <c r="AC7" s="6" t="n">
        <v>100</v>
      </c>
      <c r="AD7" s="6" t="n">
        <v>428.28</v>
      </c>
      <c r="AE7" s="11" t="n">
        <v>45324</v>
      </c>
      <c r="AF7" s="6" t="n">
        <v>2</v>
      </c>
      <c r="AG7" s="6" t="n">
        <v>246.14</v>
      </c>
      <c r="AH7" s="0"/>
      <c r="AI7" s="5" t="s">
        <f>=AI6*(ABS(AI5)-ABS(AI4))</f>
      </c>
      <c r="AJ7" s="0" t="s">
        <v>879</v>
      </c>
      <c r="AK7" s="11" t="n">
        <v>45639</v>
      </c>
      <c r="AL7" s="6" t="n">
        <v>10</v>
      </c>
      <c r="AM7" s="6" t="n">
        <v>478.53</v>
      </c>
      <c r="AN7" s="0"/>
      <c r="AO7" s="0"/>
      <c r="AP7" s="0"/>
      <c r="AQ7" s="0"/>
      <c r="AR7" s="5" t="s">
        <f>=AR6*(ABS(AR5)-ABS(AR4))</f>
      </c>
      <c r="AS7" s="0" t="s">
        <v>879</v>
      </c>
      <c r="AT7" s="0"/>
      <c r="AU7" s="5" t="s">
        <f>=SUM(AV2:AV6)/SUM(AU2:AU6)</f>
      </c>
      <c r="AV7" s="0" t="s">
        <v>11</v>
      </c>
      <c r="AW7" s="0"/>
      <c r="AX7" s="0"/>
      <c r="AY7" s="0"/>
      <c r="AZ7" s="0"/>
      <c r="BA7" s="6" t="n">
        <v>6.258</v>
      </c>
      <c r="BB7" s="0" t="s">
        <v>877</v>
      </c>
      <c r="BC7" s="0"/>
      <c r="BD7" s="0"/>
      <c r="BE7" s="0"/>
      <c r="BF7" s="0"/>
      <c r="BG7" s="0"/>
      <c r="BH7" s="0"/>
      <c r="BI7" s="0"/>
      <c r="BJ7" s="5" t="s">
        <f>=BJ6*(ABS(BJ5)-ABS(BJ4))</f>
      </c>
      <c r="BK7" s="0" t="s">
        <v>879</v>
      </c>
      <c r="BL7" s="0"/>
      <c r="BM7" s="5" t="s">
        <f>=BM6*(ABS(BM5)-ABS(BM4))</f>
      </c>
      <c r="BN7" s="0" t="s">
        <v>879</v>
      </c>
      <c r="BO7" s="0"/>
      <c r="BP7" s="0"/>
      <c r="BQ7" s="0"/>
      <c r="BR7" s="0"/>
      <c r="BS7" s="5" t="s">
        <f>=BS6*(ABS(BS5)-ABS(BS4))</f>
      </c>
      <c r="BT7" s="0" t="s">
        <v>879</v>
      </c>
      <c r="BU7" s="0"/>
      <c r="BV7" s="0"/>
      <c r="BW7" s="0"/>
      <c r="BX7" s="0"/>
      <c r="BY7" s="0"/>
      <c r="BZ7" s="0"/>
      <c r="CA7" s="0"/>
      <c r="CB7" s="6" t="n">
        <v>30</v>
      </c>
      <c r="CC7" s="0" t="s">
        <v>878</v>
      </c>
      <c r="CD7" s="0"/>
      <c r="CE7" s="5" t="s">
        <f>=CE6*(ABS(CE5)-ABS(CE4))</f>
      </c>
      <c r="CF7" s="0" t="s">
        <v>879</v>
      </c>
      <c r="CG7" s="0"/>
      <c r="CH7" s="5" t="s">
        <f>=CH6*(ABS(CH5)-ABS(CH4))</f>
      </c>
      <c r="CI7" s="0" t="s">
        <v>879</v>
      </c>
      <c r="CJ7" s="0"/>
      <c r="CK7" s="0"/>
      <c r="CL7" s="0"/>
      <c r="CM7" s="11" t="n">
        <v>45075</v>
      </c>
      <c r="CN7" s="6" t="n">
        <v>2</v>
      </c>
      <c r="CO7" s="6" t="n">
        <v>1453.76</v>
      </c>
      <c r="CP7" s="11" t="n">
        <v>45280</v>
      </c>
      <c r="CQ7" s="6" t="n">
        <v>1</v>
      </c>
      <c r="CR7" s="6" t="n">
        <v>1076.54</v>
      </c>
      <c r="CS7" s="11" t="n">
        <v>45091</v>
      </c>
      <c r="CT7" s="6" t="n">
        <v>2</v>
      </c>
      <c r="CU7" s="6" t="n">
        <v>1438.4</v>
      </c>
      <c r="CV7" s="11" t="n">
        <v>45245</v>
      </c>
      <c r="CW7" s="6" t="n">
        <v>1</v>
      </c>
      <c r="CX7" s="6" t="n">
        <v>1098.65</v>
      </c>
      <c r="CY7" s="11" t="n">
        <v>45104</v>
      </c>
      <c r="CZ7" s="6" t="n">
        <v>1</v>
      </c>
      <c r="DA7" s="6" t="n">
        <v>720.42</v>
      </c>
      <c r="DB7" s="11" t="n">
        <v>45184</v>
      </c>
      <c r="DC7" s="6" t="n">
        <v>1</v>
      </c>
      <c r="DD7" s="6" t="n">
        <v>746.54</v>
      </c>
      <c r="DE7" s="11" t="n">
        <v>45356</v>
      </c>
      <c r="DF7" s="6" t="n">
        <v>1</v>
      </c>
      <c r="DG7" s="6" t="n">
        <v>743.9</v>
      </c>
      <c r="DH7" s="11" t="n">
        <v>45147</v>
      </c>
      <c r="DI7" s="6" t="n">
        <v>1</v>
      </c>
      <c r="DJ7" s="6" t="n">
        <v>763.59</v>
      </c>
      <c r="DK7" s="11" t="n">
        <v>45387</v>
      </c>
      <c r="DL7" s="6" t="n">
        <v>1</v>
      </c>
      <c r="DM7" s="6" t="n">
        <v>725.16</v>
      </c>
      <c r="DN7" s="11" t="n">
        <v>45441</v>
      </c>
      <c r="DO7" s="6" t="n">
        <v>1</v>
      </c>
      <c r="DP7" s="6" t="n">
        <v>757.91</v>
      </c>
      <c r="DQ7" s="11" t="n">
        <v>45506</v>
      </c>
      <c r="DR7" s="6" t="n">
        <v>1</v>
      </c>
      <c r="DS7" s="6" t="n">
        <v>682.15</v>
      </c>
      <c r="DT7" s="11" t="n">
        <v>45714</v>
      </c>
      <c r="DU7" s="6" t="n">
        <v>1</v>
      </c>
      <c r="DV7" s="6" t="n">
        <v>822.39</v>
      </c>
      <c r="DW7" s="11" t="n">
        <v>45387</v>
      </c>
      <c r="DX7" s="6" t="n">
        <v>1</v>
      </c>
      <c r="DY7" s="6" t="n">
        <v>687.35</v>
      </c>
      <c r="DZ7" s="11" t="n">
        <v>45184</v>
      </c>
      <c r="EA7" s="6" t="n">
        <v>1</v>
      </c>
      <c r="EB7" s="6" t="n">
        <v>791.63</v>
      </c>
      <c r="EC7" s="11" t="n">
        <v>45387</v>
      </c>
      <c r="ED7" s="6" t="n">
        <v>1</v>
      </c>
      <c r="EE7" s="6" t="n">
        <v>852.79</v>
      </c>
      <c r="EF7" s="0"/>
      <c r="EG7" s="5" t="s">
        <f>=SUM(EH2:EH6)/SUM(EG2:EG6)</f>
      </c>
      <c r="EH7" s="0" t="s">
        <v>11</v>
      </c>
      <c r="EI7" s="11" t="n">
        <v>45742</v>
      </c>
      <c r="EJ7" s="6" t="n">
        <v>1</v>
      </c>
      <c r="EK7" s="6" t="n">
        <v>837.69</v>
      </c>
      <c r="EL7" s="11" t="n">
        <v>45714</v>
      </c>
      <c r="EM7" s="6" t="n">
        <v>1</v>
      </c>
      <c r="EN7" s="6" t="n">
        <v>873.64</v>
      </c>
      <c r="EO7" s="0"/>
      <c r="EP7" s="5" t="s">
        <f>=SUM(EQ2:EQ6)/SUM(EP2:EP6)</f>
      </c>
      <c r="EQ7" s="0" t="s">
        <v>11</v>
      </c>
      <c r="ER7" s="0"/>
      <c r="ES7" s="6" t="n">
        <v>68</v>
      </c>
      <c r="ET7" s="0" t="s">
        <v>877</v>
      </c>
      <c r="EU7" s="0"/>
      <c r="EV7" s="6" t="n">
        <v>83.08</v>
      </c>
      <c r="EW7" s="0" t="s">
        <v>877</v>
      </c>
      <c r="EX7" s="0"/>
      <c r="EY7" s="6" t="n">
        <v>81.96</v>
      </c>
      <c r="EZ7" s="0" t="s">
        <v>877</v>
      </c>
      <c r="FA7" s="0"/>
      <c r="FB7" s="6" t="n">
        <v>68.395</v>
      </c>
      <c r="FC7" s="0" t="s">
        <v>877</v>
      </c>
      <c r="FD7" s="0"/>
      <c r="FE7" s="6" t="n">
        <v>3</v>
      </c>
      <c r="FF7" s="0" t="s">
        <v>878</v>
      </c>
      <c r="FG7" s="0"/>
      <c r="FH7" s="6" t="n">
        <v>3</v>
      </c>
      <c r="FI7" s="0" t="s">
        <v>878</v>
      </c>
      <c r="FJ7" s="0"/>
      <c r="FK7" s="6" t="s">
        <f>=Портфель!H58*Портфель!$Q$13</f>
      </c>
      <c r="FL7" s="0" t="s">
        <v>7</v>
      </c>
      <c r="FM7" s="0"/>
      <c r="FN7" s="6" t="n">
        <v>3</v>
      </c>
      <c r="FO7" s="0" t="s">
        <v>878</v>
      </c>
      <c r="FP7" s="0"/>
      <c r="FQ7" s="6" t="s">
        <f>=Портфель!H60*Портфель!$Q$13</f>
      </c>
      <c r="FR7" s="0" t="s">
        <v>7</v>
      </c>
      <c r="FS7" s="0"/>
      <c r="FT7" s="6" t="s">
        <f>=Портфель!G61*Портфель!$Q$13</f>
      </c>
      <c r="FU7" s="0" t="s">
        <v>6</v>
      </c>
      <c r="FV7" s="0"/>
      <c r="FW7" s="6" t="s">
        <f>=Портфель!H62*Портфель!$Q$13</f>
      </c>
      <c r="FX7" s="0" t="s">
        <v>7</v>
      </c>
      <c r="FY7" s="0"/>
      <c r="FZ7" s="6" t="s">
        <f>=Портфель!G63*Портфель!$Q$13</f>
      </c>
      <c r="GA7" s="0" t="s">
        <v>6</v>
      </c>
      <c r="GB7" s="0"/>
      <c r="GC7" s="6" t="s">
        <f>=Портфель!G64*Портфель!$Q$13</f>
      </c>
      <c r="GD7" s="0" t="s">
        <v>6</v>
      </c>
      <c r="GE7" s="0"/>
      <c r="GF7" s="6" t="s">
        <f>=Портфель!G65*Портфель!$Q$13</f>
      </c>
      <c r="GG7" s="0" t="s">
        <v>6</v>
      </c>
      <c r="GH7" s="0"/>
      <c r="GI7" s="6" t="s">
        <f>=Портфель!G66*Портфель!$Q$13</f>
      </c>
      <c r="GJ7" s="0" t="s">
        <v>6</v>
      </c>
      <c r="GK7" s="0"/>
      <c r="GL7" s="6" t="s">
        <f>=Портфель!G67*Портфель!$Q$13</f>
      </c>
      <c r="GM7" s="0" t="s">
        <v>6</v>
      </c>
      <c r="GN7" s="0"/>
      <c r="GO7" s="6" t="s">
        <f>=Портфель!G68*Портфель!$Q$13</f>
      </c>
      <c r="GP7" s="0" t="s">
        <v>6</v>
      </c>
      <c r="GQ7" s="0"/>
      <c r="GR7" s="6" t="s">
        <f>=Портфель!G69*Портфель!$Q$13</f>
      </c>
      <c r="GS7" s="0" t="s">
        <v>6</v>
      </c>
      <c r="GT7" s="0"/>
      <c r="GU7" s="6" t="s">
        <f>=Портфель!G70*Портфель!$Q$13</f>
      </c>
      <c r="GV7" s="0" t="s">
        <v>6</v>
      </c>
      <c r="GW7" s="0"/>
      <c r="GX7" s="6" t="s">
        <f>=Портфель!G71*Портфель!$Q$13</f>
      </c>
      <c r="GY7" s="0" t="s">
        <v>6</v>
      </c>
      <c r="GZ7" s="0"/>
      <c r="HA7" s="6" t="s">
        <f>=Портфель!H72*Портфель!$Q$13</f>
      </c>
      <c r="HB7" s="0" t="s">
        <v>7</v>
      </c>
      <c r="HC7" s="0"/>
      <c r="HD7" s="6" t="s">
        <f>=Портфель!H73*Портфель!$Q$13</f>
      </c>
      <c r="HE7" s="0" t="s">
        <v>7</v>
      </c>
      <c r="HF7" s="0"/>
      <c r="HG7" s="6" t="s">
        <f>=Портфель!H74*Портфель!$Q$13</f>
      </c>
      <c r="HH7" s="0" t="s">
        <v>7</v>
      </c>
      <c r="HI7" s="0"/>
      <c r="HJ7" s="6" t="s">
        <f>=Портфель!H75*Портфель!$Q$13</f>
      </c>
      <c r="HK7" s="0" t="s">
        <v>7</v>
      </c>
      <c r="HL7" s="0"/>
      <c r="HM7" s="6" t="s">
        <f>=Портфель!H76*Портфель!$Q$13</f>
      </c>
      <c r="HN7" s="0" t="s">
        <v>7</v>
      </c>
      <c r="HO7" s="0"/>
      <c r="HP7" s="6" t="s">
        <f>=Портфель!H77*Портфель!$Q$13</f>
      </c>
      <c r="HQ7" s="0" t="s">
        <v>7</v>
      </c>
      <c r="HR7" s="0"/>
      <c r="HS7" s="6" t="s">
        <f>=Портфель!H78*Портфель!$Q$13</f>
      </c>
      <c r="HT7" s="0" t="s">
        <v>7</v>
      </c>
      <c r="HU7" s="0"/>
      <c r="HV7" s="6" t="s">
        <f>=Портфель!H79*Портфель!$Q$13</f>
      </c>
      <c r="HW7" s="0" t="s">
        <v>7</v>
      </c>
      <c r="HX7" s="0"/>
      <c r="HY7" s="6" t="s">
        <f>=Портфель!H80*Портфель!$Q$13</f>
      </c>
      <c r="HZ7" s="0" t="s">
        <v>7</v>
      </c>
      <c r="IA7" s="0"/>
      <c r="IB7" s="6" t="s">
        <f>=Портфель!H81*Портфель!$Q$13</f>
      </c>
      <c r="IC7" s="0" t="s">
        <v>7</v>
      </c>
      <c r="ID7" s="0"/>
      <c r="IE7" s="6" t="s">
        <f>=Портфель!H82*Портфель!$Q$13</f>
      </c>
      <c r="IF7" s="0" t="s">
        <v>7</v>
      </c>
      <c r="IG7" s="0"/>
      <c r="IH7" s="6" t="s">
        <f>=Портфель!H83*Портфель!$Q$13</f>
      </c>
      <c r="II7" s="0" t="s">
        <v>7</v>
      </c>
      <c r="IJ7" s="0"/>
      <c r="IK7" s="6" t="s">
        <f>=Портфель!H84*Портфель!$Q$13</f>
      </c>
      <c r="IL7" s="0" t="s">
        <v>7</v>
      </c>
      <c r="IM7" s="0"/>
      <c r="IN7" s="6" t="s">
        <f>=Портфель!H85*Портфель!$Q$13</f>
      </c>
      <c r="IO7" s="0" t="s">
        <v>7</v>
      </c>
      <c r="IP7" s="0"/>
      <c r="IQ7" s="6" t="s">
        <f>=Портфель!H86*Портфель!$Q$13</f>
      </c>
      <c r="IR7" s="0" t="s">
        <v>7</v>
      </c>
      <c r="IS7" s="0"/>
      <c r="IT7" s="6" t="s">
        <f>=Портфель!H87*Портфель!$Q$13</f>
      </c>
      <c r="IU7" s="0" t="s">
        <v>7</v>
      </c>
      <c r="IV7" s="0"/>
      <c r="IW7" s="6" t="s">
        <f>=Портфель!H88*Портфель!$Q$13</f>
      </c>
      <c r="IX7" s="0" t="s">
        <v>7</v>
      </c>
      <c r="IY7" s="0"/>
      <c r="IZ7" s="6" t="s">
        <f>=Портфель!H89*Портфель!$Q$13</f>
      </c>
      <c r="JA7" s="0" t="s">
        <v>7</v>
      </c>
      <c r="JB7" s="0"/>
      <c r="JC7" s="6" t="s">
        <f>=Портфель!H90*Портфель!$Q$13</f>
      </c>
      <c r="JD7" s="0" t="s">
        <v>7</v>
      </c>
      <c r="JE7" s="0"/>
      <c r="JF7" s="6" t="s">
        <f>=Портфель!H91*Портфель!$Q$13</f>
      </c>
      <c r="JG7" s="0" t="s">
        <v>7</v>
      </c>
      <c r="JH7" s="0"/>
      <c r="JI7" s="6" t="s">
        <f>=Портфель!H92*Портфель!$Q$13</f>
      </c>
      <c r="JJ7" s="0" t="s">
        <v>7</v>
      </c>
      <c r="JK7" s="0"/>
      <c r="JL7" s="6" t="s">
        <f>=Портфель!H93*Портфель!$Q$13</f>
      </c>
      <c r="JM7" s="0" t="s">
        <v>7</v>
      </c>
      <c r="JN7" s="0"/>
      <c r="JO7" s="6" t="s">
        <f>=Портфель!H94*Портфель!$Q$13</f>
      </c>
      <c r="JP7" s="0" t="s">
        <v>7</v>
      </c>
      <c r="JQ7" s="0"/>
      <c r="JR7" s="6" t="s">
        <f>=Портфель!H95*Портфель!$Q$13</f>
      </c>
      <c r="JS7" s="0" t="s">
        <v>7</v>
      </c>
      <c r="JT7" s="0"/>
      <c r="JU7" s="6" t="s">
        <f>=Портфель!H96*Портфель!$Q$13</f>
      </c>
      <c r="JV7" s="0" t="s">
        <v>7</v>
      </c>
      <c r="JW7" s="0"/>
      <c r="JX7" s="6" t="s">
        <f>=Портфель!H97*Портфель!$Q$13</f>
      </c>
      <c r="JY7" s="0" t="s">
        <v>7</v>
      </c>
      <c r="JZ7" s="0"/>
      <c r="KA7" s="6" t="s">
        <f>=Портфель!H98*Портфель!$Q$13</f>
      </c>
      <c r="KB7" s="0" t="s">
        <v>7</v>
      </c>
      <c r="KC7" s="0"/>
      <c r="KD7" s="6" t="s">
        <f>=Портфель!H99*Портфель!$Q$13</f>
      </c>
      <c r="KE7" s="0" t="s">
        <v>7</v>
      </c>
      <c r="KF7" s="0"/>
      <c r="KG7" s="6" t="s">
        <f>=Портфель!H100*Портфель!$Q$13</f>
      </c>
      <c r="KH7" s="0" t="s">
        <v>7</v>
      </c>
      <c r="KI7" s="0"/>
      <c r="KJ7" s="6" t="s">
        <f>=Портфель!H101*Портфель!$Q$13</f>
      </c>
      <c r="KK7" s="0" t="s">
        <v>7</v>
      </c>
      <c r="KL7" s="0"/>
      <c r="KM7" s="6" t="s">
        <f>=Портфель!H102*Портфель!$Q$13</f>
      </c>
      <c r="KN7" s="0" t="s">
        <v>7</v>
      </c>
      <c r="KO7" s="0"/>
      <c r="KP7" s="6" t="s">
        <f>=Портфель!H103*Портфель!$Q$13</f>
      </c>
      <c r="KQ7" s="0" t="s">
        <v>7</v>
      </c>
      <c r="KR7" s="0"/>
      <c r="KS7" s="6" t="s">
        <f>=Портфель!H104*Портфель!$Q$13</f>
      </c>
      <c r="KT7" s="0" t="s">
        <v>7</v>
      </c>
      <c r="KU7" s="0"/>
      <c r="KV7" s="6" t="s">
        <f>=Портфель!H105*Портфель!$Q$13</f>
      </c>
      <c r="KW7" s="0" t="s">
        <v>7</v>
      </c>
      <c r="KX7" s="0"/>
      <c r="KY7" s="6" t="s">
        <f>=Портфель!H106*Портфель!$Q$13</f>
      </c>
      <c r="KZ7" s="0" t="s">
        <v>7</v>
      </c>
      <c r="LA7" s="0"/>
      <c r="LB7" s="6" t="s">
        <f>=Портфель!H107*Портфель!$Q$13</f>
      </c>
      <c r="LC7" s="0" t="s">
        <v>7</v>
      </c>
      <c r="LD7" s="0"/>
      <c r="LE7" s="6" t="s">
        <f>=Портфель!H108*Портфель!$Q$13</f>
      </c>
      <c r="LF7" s="0" t="s">
        <v>7</v>
      </c>
    </row>
    <row collapsed="false" customFormat="false" customHeight="false" hidden="false" ht="12.1" outlineLevel="0" r="8">
      <c r="A8" s="11" t="n">
        <v>45219</v>
      </c>
      <c r="B8" s="6" t="n">
        <v>10</v>
      </c>
      <c r="C8" s="6" t="n">
        <v>2680.72</v>
      </c>
      <c r="D8" s="0"/>
      <c r="E8" s="6" t="n">
        <v>6</v>
      </c>
      <c r="F8" s="0" t="s">
        <v>878</v>
      </c>
      <c r="G8" s="0"/>
      <c r="H8" s="0"/>
      <c r="I8" s="0"/>
      <c r="J8" s="0"/>
      <c r="K8" s="5" t="s">
        <f>=K7*(ABS(K6)-ABS(K5))</f>
      </c>
      <c r="L8" s="0" t="s">
        <v>879</v>
      </c>
      <c r="M8" s="0"/>
      <c r="N8" s="5" t="s">
        <f>=SUM(O2:O7)/SUM(N2:N7)</f>
      </c>
      <c r="O8" s="0" t="s">
        <v>11</v>
      </c>
      <c r="P8" s="0"/>
      <c r="Q8" s="6" t="n">
        <v>656.5</v>
      </c>
      <c r="R8" s="0" t="s">
        <v>877</v>
      </c>
      <c r="S8" s="0"/>
      <c r="T8" s="6" t="n">
        <v>573</v>
      </c>
      <c r="U8" s="0" t="s">
        <v>877</v>
      </c>
      <c r="V8" s="0"/>
      <c r="W8" s="5" t="s">
        <f>=W7*(ABS(W6)-ABS(W5))</f>
      </c>
      <c r="X8" s="0" t="s">
        <v>879</v>
      </c>
      <c r="Y8" s="0"/>
      <c r="Z8" s="0"/>
      <c r="AA8" s="0"/>
      <c r="AB8" s="11" t="n">
        <v>45324</v>
      </c>
      <c r="AC8" s="6" t="n">
        <v>100</v>
      </c>
      <c r="AD8" s="6" t="n">
        <v>406.52</v>
      </c>
      <c r="AE8" s="11" t="n">
        <v>45356</v>
      </c>
      <c r="AF8" s="6" t="n">
        <v>4</v>
      </c>
      <c r="AG8" s="6" t="n">
        <v>475.72</v>
      </c>
      <c r="AH8" s="0"/>
      <c r="AI8" s="0"/>
      <c r="AJ8" s="0"/>
      <c r="AK8" s="0"/>
      <c r="AL8" s="5" t="s">
        <f>=SUM(AM2:AM7)/SUM(AL2:AL7)</f>
      </c>
      <c r="AM8" s="0" t="s">
        <v>11</v>
      </c>
      <c r="AN8" s="0"/>
      <c r="AO8" s="0"/>
      <c r="AP8" s="0"/>
      <c r="AQ8" s="0"/>
      <c r="AR8" s="0"/>
      <c r="AS8" s="0"/>
      <c r="AT8" s="0"/>
      <c r="AU8" s="6" t="n">
        <v>58.48</v>
      </c>
      <c r="AV8" s="0" t="s">
        <v>877</v>
      </c>
      <c r="AW8" s="0"/>
      <c r="AX8" s="0"/>
      <c r="AY8" s="0"/>
      <c r="AZ8" s="0"/>
      <c r="BA8" s="6" t="n">
        <v>400</v>
      </c>
      <c r="BB8" s="0" t="s">
        <v>878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5" t="s">
        <f>=CB7*(ABS(CB6)-ABS(CB5))</f>
      </c>
      <c r="CC8" s="0" t="s">
        <v>879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45085</v>
      </c>
      <c r="CN8" s="6" t="n">
        <v>2</v>
      </c>
      <c r="CO8" s="6" t="n">
        <v>1449.34</v>
      </c>
      <c r="CP8" s="11" t="n">
        <v>45303</v>
      </c>
      <c r="CQ8" s="6" t="n">
        <v>1</v>
      </c>
      <c r="CR8" s="6" t="n">
        <v>1079.95</v>
      </c>
      <c r="CS8" s="11" t="n">
        <v>45104</v>
      </c>
      <c r="CT8" s="6" t="n">
        <v>1</v>
      </c>
      <c r="CU8" s="6" t="n">
        <v>702.08</v>
      </c>
      <c r="CV8" s="11" t="n">
        <v>45427</v>
      </c>
      <c r="CW8" s="6" t="n">
        <v>1</v>
      </c>
      <c r="CX8" s="6" t="n">
        <v>1101.95</v>
      </c>
      <c r="CY8" s="11" t="n">
        <v>45154</v>
      </c>
      <c r="CZ8" s="6" t="n">
        <v>1</v>
      </c>
      <c r="DA8" s="6" t="n">
        <v>720.42</v>
      </c>
      <c r="DB8" s="11" t="n">
        <v>45203</v>
      </c>
      <c r="DC8" s="6" t="n">
        <v>2</v>
      </c>
      <c r="DD8" s="6" t="n">
        <v>1458.68</v>
      </c>
      <c r="DE8" s="11" t="n">
        <v>45399</v>
      </c>
      <c r="DF8" s="6" t="n">
        <v>1</v>
      </c>
      <c r="DG8" s="6" t="n">
        <v>743.88</v>
      </c>
      <c r="DH8" s="11" t="n">
        <v>45184</v>
      </c>
      <c r="DI8" s="6" t="n">
        <v>1</v>
      </c>
      <c r="DJ8" s="6" t="n">
        <v>737.64</v>
      </c>
      <c r="DK8" s="11" t="n">
        <v>45447</v>
      </c>
      <c r="DL8" s="6" t="n">
        <v>1</v>
      </c>
      <c r="DM8" s="6" t="n">
        <v>709.44</v>
      </c>
      <c r="DN8" s="11" t="n">
        <v>45506</v>
      </c>
      <c r="DO8" s="6" t="n">
        <v>1</v>
      </c>
      <c r="DP8" s="6" t="n">
        <v>731.87</v>
      </c>
      <c r="DQ8" s="11" t="n">
        <v>45560</v>
      </c>
      <c r="DR8" s="6" t="n">
        <v>1</v>
      </c>
      <c r="DS8" s="6" t="n">
        <v>681.79</v>
      </c>
      <c r="DT8" s="11" t="n">
        <v>45714</v>
      </c>
      <c r="DU8" s="6" t="n">
        <v>1</v>
      </c>
      <c r="DV8" s="6" t="n">
        <v>822.2</v>
      </c>
      <c r="DW8" s="11" t="n">
        <v>45387</v>
      </c>
      <c r="DX8" s="6" t="n">
        <v>1</v>
      </c>
      <c r="DY8" s="6" t="n">
        <v>625.06</v>
      </c>
      <c r="DZ8" s="11" t="n">
        <v>45184</v>
      </c>
      <c r="EA8" s="6" t="n">
        <v>1</v>
      </c>
      <c r="EB8" s="6" t="n">
        <v>739.35</v>
      </c>
      <c r="EC8" s="0"/>
      <c r="ED8" s="5" t="s">
        <f>=SUM(EE2:EE7)/SUM(ED2:ED7)</f>
      </c>
      <c r="EE8" s="0" t="s">
        <v>11</v>
      </c>
      <c r="EF8" s="0"/>
      <c r="EG8" s="6" t="n">
        <v>104</v>
      </c>
      <c r="EH8" s="0" t="s">
        <v>877</v>
      </c>
      <c r="EI8" s="0"/>
      <c r="EJ8" s="5" t="s">
        <f>=SUM(EK2:EK7)/SUM(EJ2:EJ7)</f>
      </c>
      <c r="EK8" s="0" t="s">
        <v>11</v>
      </c>
      <c r="EL8" s="0"/>
      <c r="EM8" s="5" t="s">
        <f>=SUM(EN2:EN7)/SUM(EM2:EM7)</f>
      </c>
      <c r="EN8" s="0" t="s">
        <v>11</v>
      </c>
      <c r="EO8" s="0"/>
      <c r="EP8" s="6" t="n">
        <v>66.199</v>
      </c>
      <c r="EQ8" s="0" t="s">
        <v>877</v>
      </c>
      <c r="ER8" s="0"/>
      <c r="ES8" s="6" t="n">
        <v>4</v>
      </c>
      <c r="ET8" s="0" t="s">
        <v>878</v>
      </c>
      <c r="EU8" s="0"/>
      <c r="EV8" s="6" t="n">
        <v>4</v>
      </c>
      <c r="EW8" s="0" t="s">
        <v>878</v>
      </c>
      <c r="EX8" s="0"/>
      <c r="EY8" s="6" t="n">
        <v>4</v>
      </c>
      <c r="EZ8" s="0" t="s">
        <v>878</v>
      </c>
      <c r="FA8" s="0"/>
      <c r="FB8" s="6" t="n">
        <v>4</v>
      </c>
      <c r="FC8" s="0" t="s">
        <v>878</v>
      </c>
      <c r="FD8" s="0"/>
      <c r="FE8" s="6" t="s">
        <f>=Портфель!G56*Портфель!$Q$13</f>
      </c>
      <c r="FF8" s="0" t="s">
        <v>6</v>
      </c>
      <c r="FG8" s="0"/>
      <c r="FH8" s="6" t="s">
        <f>=Портфель!G57*Портфель!$Q$13</f>
      </c>
      <c r="FI8" s="0" t="s">
        <v>6</v>
      </c>
      <c r="FJ8" s="0"/>
      <c r="FK8" s="5" t="s">
        <f>=FK5*(FK6*FK4/100-FK3+FK7)</f>
      </c>
      <c r="FL8" s="0" t="s">
        <v>879</v>
      </c>
      <c r="FM8" s="0"/>
      <c r="FN8" s="6" t="s">
        <f>=Портфель!G59*Портфель!$Q$13</f>
      </c>
      <c r="FO8" s="0" t="s">
        <v>6</v>
      </c>
      <c r="FP8" s="0"/>
      <c r="FQ8" s="5" t="s">
        <f>=FQ5*(FQ6*FQ4/100-FQ3+FQ7)</f>
      </c>
      <c r="FR8" s="0" t="s">
        <v>879</v>
      </c>
      <c r="FS8" s="0"/>
      <c r="FT8" s="6" t="s">
        <f>=Портфель!H61*Портфель!$Q$13</f>
      </c>
      <c r="FU8" s="0" t="s">
        <v>7</v>
      </c>
      <c r="FV8" s="0"/>
      <c r="FW8" s="5" t="s">
        <f>=FW5*(FW6*FW4/100-FW3+FW7)</f>
      </c>
      <c r="FX8" s="0" t="s">
        <v>879</v>
      </c>
      <c r="FY8" s="0"/>
      <c r="FZ8" s="6" t="s">
        <f>=Портфель!H63*Портфель!$Q$13</f>
      </c>
      <c r="GA8" s="0" t="s">
        <v>7</v>
      </c>
      <c r="GB8" s="0"/>
      <c r="GC8" s="6" t="s">
        <f>=Портфель!H64*Портфель!$Q$13</f>
      </c>
      <c r="GD8" s="0" t="s">
        <v>7</v>
      </c>
      <c r="GE8" s="0"/>
      <c r="GF8" s="6" t="s">
        <f>=Портфель!H65*Портфель!$Q$13</f>
      </c>
      <c r="GG8" s="0" t="s">
        <v>7</v>
      </c>
      <c r="GH8" s="0"/>
      <c r="GI8" s="6" t="s">
        <f>=Портфель!H66*Портфель!$Q$13</f>
      </c>
      <c r="GJ8" s="0" t="s">
        <v>7</v>
      </c>
      <c r="GK8" s="0"/>
      <c r="GL8" s="6" t="s">
        <f>=Портфель!H67*Портфель!$Q$13</f>
      </c>
      <c r="GM8" s="0" t="s">
        <v>7</v>
      </c>
      <c r="GN8" s="0"/>
      <c r="GO8" s="6" t="s">
        <f>=Портфель!H68*Портфель!$Q$13</f>
      </c>
      <c r="GP8" s="0" t="s">
        <v>7</v>
      </c>
      <c r="GQ8" s="0"/>
      <c r="GR8" s="6" t="s">
        <f>=Портфель!H69*Портфель!$Q$13</f>
      </c>
      <c r="GS8" s="0" t="s">
        <v>7</v>
      </c>
      <c r="GT8" s="0"/>
      <c r="GU8" s="6" t="s">
        <f>=Портфель!H70*Портфель!$Q$13</f>
      </c>
      <c r="GV8" s="0" t="s">
        <v>7</v>
      </c>
      <c r="GW8" s="0"/>
      <c r="GX8" s="6" t="s">
        <f>=Портфель!H71*Портфель!$Q$13</f>
      </c>
      <c r="GY8" s="0" t="s">
        <v>7</v>
      </c>
      <c r="GZ8" s="0"/>
      <c r="HA8" s="5" t="s">
        <f>=HA5*(HA6*HA4/100-HA3+HA7)</f>
      </c>
      <c r="HB8" s="0" t="s">
        <v>879</v>
      </c>
      <c r="HC8" s="0"/>
      <c r="HD8" s="5" t="s">
        <f>=HD5*(HD6*HD4/100-HD3+HD7)</f>
      </c>
      <c r="HE8" s="0" t="s">
        <v>879</v>
      </c>
      <c r="HF8" s="0"/>
      <c r="HG8" s="5" t="s">
        <f>=HG5*(HG6*HG4/100-HG3+HG7)</f>
      </c>
      <c r="HH8" s="0" t="s">
        <v>879</v>
      </c>
      <c r="HI8" s="0"/>
      <c r="HJ8" s="5" t="s">
        <f>=HJ5*(HJ6*HJ4/100-HJ3+HJ7)</f>
      </c>
      <c r="HK8" s="0" t="s">
        <v>879</v>
      </c>
      <c r="HL8" s="0"/>
      <c r="HM8" s="5" t="s">
        <f>=HM5*(HM6*HM4/100-HM3+HM7)</f>
      </c>
      <c r="HN8" s="0" t="s">
        <v>879</v>
      </c>
      <c r="HO8" s="0"/>
      <c r="HP8" s="5" t="s">
        <f>=HP5*(HP6*HP4/100-HP3+HP7)</f>
      </c>
      <c r="HQ8" s="0" t="s">
        <v>879</v>
      </c>
      <c r="HR8" s="0"/>
      <c r="HS8" s="5" t="s">
        <f>=HS5*(HS6*HS4/100-HS3+HS7)</f>
      </c>
      <c r="HT8" s="0" t="s">
        <v>879</v>
      </c>
      <c r="HU8" s="0"/>
      <c r="HV8" s="5" t="s">
        <f>=HV5*(HV6*HV4/100-HV3+HV7)</f>
      </c>
      <c r="HW8" s="0" t="s">
        <v>879</v>
      </c>
      <c r="HX8" s="0"/>
      <c r="HY8" s="5" t="s">
        <f>=HY5*(HY6*HY4/100-HY3+HY7)</f>
      </c>
      <c r="HZ8" s="0" t="s">
        <v>879</v>
      </c>
      <c r="IA8" s="0"/>
      <c r="IB8" s="5" t="s">
        <f>=IB5*(IB6*IB4/100-IB3+IB7)</f>
      </c>
      <c r="IC8" s="0" t="s">
        <v>879</v>
      </c>
      <c r="ID8" s="0"/>
      <c r="IE8" s="5" t="s">
        <f>=IE5*(IE6*IE4/100-IE3+IE7)</f>
      </c>
      <c r="IF8" s="0" t="s">
        <v>879</v>
      </c>
      <c r="IG8" s="0"/>
      <c r="IH8" s="5" t="s">
        <f>=IH5*(IH6*IH4/100-IH3+IH7)</f>
      </c>
      <c r="II8" s="0" t="s">
        <v>879</v>
      </c>
      <c r="IJ8" s="0"/>
      <c r="IK8" s="5" t="s">
        <f>=IK5*(IK6*IK4/100-IK3+IK7)</f>
      </c>
      <c r="IL8" s="0" t="s">
        <v>879</v>
      </c>
      <c r="IM8" s="0"/>
      <c r="IN8" s="5" t="s">
        <f>=IN5*(IN6*IN4/100-IN3+IN7)</f>
      </c>
      <c r="IO8" s="0" t="s">
        <v>879</v>
      </c>
      <c r="IP8" s="0"/>
      <c r="IQ8" s="5" t="s">
        <f>=IQ5*(IQ6*IQ4/100-IQ3+IQ7)</f>
      </c>
      <c r="IR8" s="0" t="s">
        <v>879</v>
      </c>
      <c r="IS8" s="0"/>
      <c r="IT8" s="5" t="s">
        <f>=IT5*(IT6*IT4/100-IT3+IT7)</f>
      </c>
      <c r="IU8" s="0" t="s">
        <v>879</v>
      </c>
      <c r="IV8" s="0"/>
      <c r="IW8" s="5" t="s">
        <f>=IW5*(IW6*IW4/100-IW3+IW7)</f>
      </c>
      <c r="IX8" s="0" t="s">
        <v>879</v>
      </c>
      <c r="IY8" s="0"/>
      <c r="IZ8" s="5" t="s">
        <f>=IZ5*(IZ6*IZ4/100-IZ3+IZ7)</f>
      </c>
      <c r="JA8" s="0" t="s">
        <v>879</v>
      </c>
      <c r="JB8" s="0"/>
      <c r="JC8" s="5" t="s">
        <f>=JC5*(JC6*JC4/100-JC3+JC7)</f>
      </c>
      <c r="JD8" s="0" t="s">
        <v>879</v>
      </c>
      <c r="JE8" s="0"/>
      <c r="JF8" s="5" t="s">
        <f>=JF5*(JF6*JF4/100-JF3+JF7)</f>
      </c>
      <c r="JG8" s="0" t="s">
        <v>879</v>
      </c>
      <c r="JH8" s="0"/>
      <c r="JI8" s="5" t="s">
        <f>=JI5*(JI6*JI4/100-JI3+JI7)</f>
      </c>
      <c r="JJ8" s="0" t="s">
        <v>879</v>
      </c>
      <c r="JK8" s="0"/>
      <c r="JL8" s="5" t="s">
        <f>=JL5*(JL6*JL4/100-JL3+JL7)</f>
      </c>
      <c r="JM8" s="0" t="s">
        <v>879</v>
      </c>
      <c r="JN8" s="0"/>
      <c r="JO8" s="5" t="s">
        <f>=JO5*(JO6*JO4/100-JO3+JO7)</f>
      </c>
      <c r="JP8" s="0" t="s">
        <v>879</v>
      </c>
      <c r="JQ8" s="0"/>
      <c r="JR8" s="5" t="s">
        <f>=JR5*(JR6*JR4/100-JR3+JR7)</f>
      </c>
      <c r="JS8" s="0" t="s">
        <v>879</v>
      </c>
      <c r="JT8" s="0"/>
      <c r="JU8" s="5" t="s">
        <f>=JU5*(JU6*JU4/100-JU3+JU7)</f>
      </c>
      <c r="JV8" s="0" t="s">
        <v>879</v>
      </c>
      <c r="JW8" s="0"/>
      <c r="JX8" s="5" t="s">
        <f>=JX5*(JX6*JX4/100-JX3+JX7)</f>
      </c>
      <c r="JY8" s="0" t="s">
        <v>879</v>
      </c>
      <c r="JZ8" s="0"/>
      <c r="KA8" s="5" t="s">
        <f>=KA5*(KA6*KA4/100-KA3+KA7)</f>
      </c>
      <c r="KB8" s="0" t="s">
        <v>879</v>
      </c>
      <c r="KC8" s="0"/>
      <c r="KD8" s="5" t="s">
        <f>=KD5*(KD6*KD4/100-KD3+KD7)</f>
      </c>
      <c r="KE8" s="0" t="s">
        <v>879</v>
      </c>
      <c r="KF8" s="0"/>
      <c r="KG8" s="5" t="s">
        <f>=KG5*(KG6*KG4/100-KG3+KG7)</f>
      </c>
      <c r="KH8" s="0" t="s">
        <v>879</v>
      </c>
      <c r="KI8" s="0"/>
      <c r="KJ8" s="5" t="s">
        <f>=KJ5*(KJ6*KJ4/100-KJ3+KJ7)</f>
      </c>
      <c r="KK8" s="0" t="s">
        <v>879</v>
      </c>
      <c r="KL8" s="0"/>
      <c r="KM8" s="5" t="s">
        <f>=KM5*(KM6*KM4/100-KM3+KM7)</f>
      </c>
      <c r="KN8" s="0" t="s">
        <v>879</v>
      </c>
      <c r="KO8" s="0"/>
      <c r="KP8" s="5" t="s">
        <f>=KP5*(KP6*KP4/100-KP3+KP7)</f>
      </c>
      <c r="KQ8" s="0" t="s">
        <v>879</v>
      </c>
      <c r="KR8" s="0"/>
      <c r="KS8" s="5" t="s">
        <f>=KS5*(KS6*KS4/100-KS3+KS7)</f>
      </c>
      <c r="KT8" s="0" t="s">
        <v>879</v>
      </c>
      <c r="KU8" s="0"/>
      <c r="KV8" s="5" t="s">
        <f>=KV5*(KV6*KV4/100-KV3+KV7)</f>
      </c>
      <c r="KW8" s="0" t="s">
        <v>879</v>
      </c>
      <c r="KX8" s="0"/>
      <c r="KY8" s="5" t="s">
        <f>=KY5*(KY6*KY4/100-KY3+KY7)</f>
      </c>
      <c r="KZ8" s="0" t="s">
        <v>879</v>
      </c>
      <c r="LA8" s="0"/>
      <c r="LB8" s="5" t="s">
        <f>=LB5*(LB6*LB4/100-LB3+LB7)</f>
      </c>
      <c r="LC8" s="0" t="s">
        <v>879</v>
      </c>
      <c r="LD8" s="0"/>
      <c r="LE8" s="5" t="s">
        <f>=LE5*(LE6*LE4/100-LE3+LE7)</f>
      </c>
      <c r="LF8" s="0" t="s">
        <v>879</v>
      </c>
    </row>
    <row collapsed="false" customFormat="false" customHeight="false" hidden="false" ht="12.1" outlineLevel="0" r="9">
      <c r="A9" s="11" t="n">
        <v>45244</v>
      </c>
      <c r="B9" s="6" t="n">
        <v>10</v>
      </c>
      <c r="C9" s="6" t="n">
        <v>2838.29</v>
      </c>
      <c r="D9" s="0"/>
      <c r="E9" s="5" t="s">
        <f>=E8*(ABS(E7)-ABS(E6))</f>
      </c>
      <c r="F9" s="0" t="s">
        <v>879</v>
      </c>
      <c r="G9" s="0"/>
      <c r="H9" s="0"/>
      <c r="I9" s="0"/>
      <c r="J9" s="0"/>
      <c r="K9" s="0"/>
      <c r="L9" s="0"/>
      <c r="M9" s="0"/>
      <c r="N9" s="6" t="n">
        <v>129.87</v>
      </c>
      <c r="O9" s="0" t="s">
        <v>877</v>
      </c>
      <c r="P9" s="0"/>
      <c r="Q9" s="6" t="n">
        <v>10</v>
      </c>
      <c r="R9" s="0" t="s">
        <v>878</v>
      </c>
      <c r="S9" s="0"/>
      <c r="T9" s="6" t="n">
        <v>10</v>
      </c>
      <c r="U9" s="0" t="s">
        <v>878</v>
      </c>
      <c r="V9" s="0"/>
      <c r="W9" s="0"/>
      <c r="X9" s="0"/>
      <c r="Y9" s="0"/>
      <c r="Z9" s="0"/>
      <c r="AA9" s="0"/>
      <c r="AB9" s="11" t="n">
        <v>45356</v>
      </c>
      <c r="AC9" s="6" t="n">
        <v>100</v>
      </c>
      <c r="AD9" s="6" t="n">
        <v>407.77</v>
      </c>
      <c r="AE9" s="11" t="n">
        <v>45541</v>
      </c>
      <c r="AF9" s="6" t="n">
        <v>8</v>
      </c>
      <c r="AG9" s="6" t="n">
        <v>698.97</v>
      </c>
      <c r="AH9" s="0"/>
      <c r="AI9" s="0"/>
      <c r="AJ9" s="0"/>
      <c r="AK9" s="0"/>
      <c r="AL9" s="6" t="n">
        <v>66.59</v>
      </c>
      <c r="AM9" s="0" t="s">
        <v>877</v>
      </c>
      <c r="AN9" s="0"/>
      <c r="AO9" s="0"/>
      <c r="AP9" s="0"/>
      <c r="AQ9" s="0"/>
      <c r="AR9" s="0"/>
      <c r="AS9" s="0"/>
      <c r="AT9" s="0"/>
      <c r="AU9" s="6" t="n">
        <v>50</v>
      </c>
      <c r="AV9" s="0" t="s">
        <v>878</v>
      </c>
      <c r="AW9" s="0"/>
      <c r="AX9" s="0"/>
      <c r="AY9" s="0"/>
      <c r="AZ9" s="0"/>
      <c r="BA9" s="5" t="s">
        <f>=BA8*(ABS(BA7)-ABS(BA6))</f>
      </c>
      <c r="BB9" s="0" t="s">
        <v>879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45104</v>
      </c>
      <c r="CN9" s="6" t="n">
        <v>2</v>
      </c>
      <c r="CO9" s="6" t="n">
        <v>1381.18</v>
      </c>
      <c r="CP9" s="11" t="n">
        <v>45351</v>
      </c>
      <c r="CQ9" s="6" t="n">
        <v>1</v>
      </c>
      <c r="CR9" s="6" t="n">
        <v>1097.76</v>
      </c>
      <c r="CS9" s="11" t="n">
        <v>45184</v>
      </c>
      <c r="CT9" s="6" t="n">
        <v>1</v>
      </c>
      <c r="CU9" s="6" t="n">
        <v>702.08</v>
      </c>
      <c r="CV9" s="11" t="n">
        <v>45447</v>
      </c>
      <c r="CW9" s="6" t="n">
        <v>1</v>
      </c>
      <c r="CX9" s="6" t="n">
        <v>1090.65</v>
      </c>
      <c r="CY9" s="11" t="n">
        <v>45184</v>
      </c>
      <c r="CZ9" s="6" t="n">
        <v>1</v>
      </c>
      <c r="DA9" s="6" t="n">
        <v>720.42</v>
      </c>
      <c r="DB9" s="11" t="n">
        <v>45240</v>
      </c>
      <c r="DC9" s="6" t="n">
        <v>2</v>
      </c>
      <c r="DD9" s="6" t="n">
        <v>1461.64</v>
      </c>
      <c r="DE9" s="11" t="n">
        <v>45447</v>
      </c>
      <c r="DF9" s="6" t="n">
        <v>1</v>
      </c>
      <c r="DG9" s="6" t="n">
        <v>736.18</v>
      </c>
      <c r="DH9" s="11" t="n">
        <v>45184</v>
      </c>
      <c r="DI9" s="6" t="n">
        <v>1</v>
      </c>
      <c r="DJ9" s="6" t="n">
        <v>687.54</v>
      </c>
      <c r="DK9" s="11" t="n">
        <v>45448</v>
      </c>
      <c r="DL9" s="6" t="n">
        <v>1</v>
      </c>
      <c r="DM9" s="6" t="n">
        <v>720.16</v>
      </c>
      <c r="DN9" s="11" t="n">
        <v>45566</v>
      </c>
      <c r="DO9" s="6" t="n">
        <v>1</v>
      </c>
      <c r="DP9" s="6" t="n">
        <v>732.37</v>
      </c>
      <c r="DQ9" s="11" t="n">
        <v>45566</v>
      </c>
      <c r="DR9" s="6" t="n">
        <v>1</v>
      </c>
      <c r="DS9" s="6" t="n">
        <v>765.95</v>
      </c>
      <c r="DT9" s="11" t="n">
        <v>45714</v>
      </c>
      <c r="DU9" s="6" t="n">
        <v>1</v>
      </c>
      <c r="DV9" s="6" t="n">
        <v>868.78</v>
      </c>
      <c r="DW9" s="11" t="n">
        <v>45447</v>
      </c>
      <c r="DX9" s="6" t="n">
        <v>1</v>
      </c>
      <c r="DY9" s="6" t="n">
        <v>693.52</v>
      </c>
      <c r="DZ9" s="11" t="n">
        <v>45240</v>
      </c>
      <c r="EA9" s="6" t="n">
        <v>1</v>
      </c>
      <c r="EB9" s="6" t="n">
        <v>707.93</v>
      </c>
      <c r="EC9" s="0"/>
      <c r="ED9" s="6" t="n">
        <v>82.363</v>
      </c>
      <c r="EE9" s="0" t="s">
        <v>877</v>
      </c>
      <c r="EF9" s="0"/>
      <c r="EG9" s="6" t="n">
        <v>5</v>
      </c>
      <c r="EH9" s="0" t="s">
        <v>878</v>
      </c>
      <c r="EI9" s="0"/>
      <c r="EJ9" s="6" t="n">
        <v>82.75</v>
      </c>
      <c r="EK9" s="0" t="s">
        <v>877</v>
      </c>
      <c r="EL9" s="0"/>
      <c r="EM9" s="6" t="n">
        <v>82.888</v>
      </c>
      <c r="EN9" s="0" t="s">
        <v>877</v>
      </c>
      <c r="EO9" s="0"/>
      <c r="EP9" s="6" t="n">
        <v>6</v>
      </c>
      <c r="EQ9" s="0" t="s">
        <v>878</v>
      </c>
      <c r="ER9" s="0"/>
      <c r="ES9" s="6" t="s">
        <f>=Портфель!G52*Портфель!$Q$13</f>
      </c>
      <c r="ET9" s="0" t="s">
        <v>6</v>
      </c>
      <c r="EU9" s="0"/>
      <c r="EV9" s="6" t="s">
        <f>=Портфель!G53*Портфель!$Q$13</f>
      </c>
      <c r="EW9" s="0" t="s">
        <v>6</v>
      </c>
      <c r="EX9" s="0"/>
      <c r="EY9" s="6" t="s">
        <f>=Портфель!G54*Портфель!$Q$13</f>
      </c>
      <c r="EZ9" s="0" t="s">
        <v>6</v>
      </c>
      <c r="FA9" s="0"/>
      <c r="FB9" s="6" t="s">
        <f>=Портфель!G55*Портфель!$Q$13</f>
      </c>
      <c r="FC9" s="0" t="s">
        <v>6</v>
      </c>
      <c r="FD9" s="0"/>
      <c r="FE9" s="6" t="s">
        <f>=Портфель!H56*Портфель!$Q$13</f>
      </c>
      <c r="FF9" s="0" t="s">
        <v>7</v>
      </c>
      <c r="FG9" s="0"/>
      <c r="FH9" s="6" t="s">
        <f>=Портфель!H57*Портфель!$Q$13</f>
      </c>
      <c r="FI9" s="0" t="s">
        <v>7</v>
      </c>
      <c r="FJ9" s="0"/>
      <c r="FK9" s="0"/>
      <c r="FL9" s="0"/>
      <c r="FM9" s="0"/>
      <c r="FN9" s="6" t="s">
        <f>=Портфель!H59*Портфель!$Q$13</f>
      </c>
      <c r="FO9" s="0" t="s">
        <v>7</v>
      </c>
      <c r="FP9" s="0"/>
      <c r="FQ9" s="0"/>
      <c r="FR9" s="0"/>
      <c r="FS9" s="0"/>
      <c r="FT9" s="5" t="s">
        <f>=FT6*(FT7*FT5/100-FT4+FT8)</f>
      </c>
      <c r="FU9" s="0" t="s">
        <v>879</v>
      </c>
      <c r="FV9" s="0"/>
      <c r="FW9" s="0"/>
      <c r="FX9" s="0"/>
      <c r="FY9" s="0"/>
      <c r="FZ9" s="5" t="s">
        <f>=FZ6*(FZ7*FZ5/100-FZ4+FZ8)</f>
      </c>
      <c r="GA9" s="0" t="s">
        <v>879</v>
      </c>
      <c r="GB9" s="0"/>
      <c r="GC9" s="5" t="s">
        <f>=GC6*(GC7*GC5/100-GC4+GC8)</f>
      </c>
      <c r="GD9" s="0" t="s">
        <v>879</v>
      </c>
      <c r="GE9" s="0"/>
      <c r="GF9" s="5" t="s">
        <f>=GF6*(GF7*GF5/100-GF4+GF8)</f>
      </c>
      <c r="GG9" s="0" t="s">
        <v>879</v>
      </c>
      <c r="GH9" s="0"/>
      <c r="GI9" s="5" t="s">
        <f>=GI6*(GI7*GI5/100-GI4+GI8)</f>
      </c>
      <c r="GJ9" s="0" t="s">
        <v>879</v>
      </c>
      <c r="GK9" s="0"/>
      <c r="GL9" s="5" t="s">
        <f>=GL6*(GL7*GL5/100-GL4+GL8)</f>
      </c>
      <c r="GM9" s="0" t="s">
        <v>879</v>
      </c>
      <c r="GN9" s="0"/>
      <c r="GO9" s="5" t="s">
        <f>=GO6*(GO7*GO5/100-GO4+GO8)</f>
      </c>
      <c r="GP9" s="0" t="s">
        <v>879</v>
      </c>
      <c r="GQ9" s="0"/>
      <c r="GR9" s="5" t="s">
        <f>=GR6*(GR7*GR5/100-GR4+GR8)</f>
      </c>
      <c r="GS9" s="0" t="s">
        <v>879</v>
      </c>
      <c r="GT9" s="0"/>
      <c r="GU9" s="5" t="s">
        <f>=GU6*(GU7*GU5/100-GU4+GU8)</f>
      </c>
      <c r="GV9" s="0" t="s">
        <v>879</v>
      </c>
      <c r="GW9" s="0"/>
      <c r="GX9" s="5" t="s">
        <f>=GX6*(GX7*GX5/100-GX4+GX8)</f>
      </c>
      <c r="GY9" s="0" t="s">
        <v>879</v>
      </c>
    </row>
    <row collapsed="false" customFormat="false" customHeight="false" hidden="false" ht="12.1" outlineLevel="0" r="10">
      <c r="A10" s="11" t="n">
        <v>45267</v>
      </c>
      <c r="B10" s="6" t="n">
        <v>10</v>
      </c>
      <c r="C10" s="6" t="n">
        <v>2687.84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6" t="n">
        <v>60</v>
      </c>
      <c r="O10" s="0" t="s">
        <v>878</v>
      </c>
      <c r="P10" s="0"/>
      <c r="Q10" s="5" t="s">
        <f>=Q9*(ABS(Q8)-ABS(Q7))</f>
      </c>
      <c r="R10" s="0" t="s">
        <v>879</v>
      </c>
      <c r="S10" s="0"/>
      <c r="T10" s="5" t="s">
        <f>=T9*(ABS(T8)-ABS(T7))</f>
      </c>
      <c r="U10" s="0" t="s">
        <v>879</v>
      </c>
      <c r="V10" s="0"/>
      <c r="W10" s="0"/>
      <c r="X10" s="0"/>
      <c r="Y10" s="0"/>
      <c r="Z10" s="0"/>
      <c r="AA10" s="0"/>
      <c r="AB10" s="11" t="n">
        <v>45506</v>
      </c>
      <c r="AC10" s="6" t="n">
        <v>100</v>
      </c>
      <c r="AD10" s="6" t="n">
        <v>380.24</v>
      </c>
      <c r="AE10" s="11" t="n">
        <v>45729</v>
      </c>
      <c r="AF10" s="6" t="n">
        <v>20</v>
      </c>
      <c r="AG10" s="6" t="n">
        <v>1784.74</v>
      </c>
      <c r="AH10" s="0"/>
      <c r="AI10" s="0"/>
      <c r="AJ10" s="0"/>
      <c r="AK10" s="0"/>
      <c r="AL10" s="6" t="n">
        <v>60</v>
      </c>
      <c r="AM10" s="0" t="s">
        <v>878</v>
      </c>
      <c r="AN10" s="0"/>
      <c r="AO10" s="0"/>
      <c r="AP10" s="0"/>
      <c r="AQ10" s="0"/>
      <c r="AR10" s="0"/>
      <c r="AS10" s="0"/>
      <c r="AT10" s="0"/>
      <c r="AU10" s="5" t="s">
        <f>=AU9*(ABS(AU8)-ABS(AU7))</f>
      </c>
      <c r="AV10" s="0" t="s">
        <v>879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45114</v>
      </c>
      <c r="CN10" s="6" t="n">
        <v>1</v>
      </c>
      <c r="CO10" s="6" t="n">
        <v>676.34</v>
      </c>
      <c r="CP10" s="11" t="n">
        <v>45356</v>
      </c>
      <c r="CQ10" s="6" t="n">
        <v>1</v>
      </c>
      <c r="CR10" s="6" t="n">
        <v>1100.37</v>
      </c>
      <c r="CS10" s="11" t="n">
        <v>45184</v>
      </c>
      <c r="CT10" s="6" t="n">
        <v>1</v>
      </c>
      <c r="CU10" s="6" t="n">
        <v>702.08</v>
      </c>
      <c r="CV10" s="11" t="n">
        <v>45447</v>
      </c>
      <c r="CW10" s="6" t="n">
        <v>1</v>
      </c>
      <c r="CX10" s="6" t="n">
        <v>1090.61</v>
      </c>
      <c r="CY10" s="11" t="n">
        <v>45184</v>
      </c>
      <c r="CZ10" s="6" t="n">
        <v>2</v>
      </c>
      <c r="DA10" s="6" t="n">
        <v>1428.38</v>
      </c>
      <c r="DB10" s="11" t="n">
        <v>45267</v>
      </c>
      <c r="DC10" s="6" t="n">
        <v>1</v>
      </c>
      <c r="DD10" s="6" t="n">
        <v>730.51</v>
      </c>
      <c r="DE10" s="11" t="n">
        <v>45447</v>
      </c>
      <c r="DF10" s="6" t="n">
        <v>1</v>
      </c>
      <c r="DG10" s="6" t="n">
        <v>716.79</v>
      </c>
      <c r="DH10" s="11" t="n">
        <v>45189</v>
      </c>
      <c r="DI10" s="6" t="n">
        <v>1</v>
      </c>
      <c r="DJ10" s="6" t="n">
        <v>687.55</v>
      </c>
      <c r="DK10" s="11" t="n">
        <v>45506</v>
      </c>
      <c r="DL10" s="6" t="n">
        <v>1</v>
      </c>
      <c r="DM10" s="6" t="n">
        <v>732.56</v>
      </c>
      <c r="DN10" s="11" t="n">
        <v>45566</v>
      </c>
      <c r="DO10" s="6" t="n">
        <v>1</v>
      </c>
      <c r="DP10" s="6" t="n">
        <v>778.45</v>
      </c>
      <c r="DQ10" s="11" t="n">
        <v>45566</v>
      </c>
      <c r="DR10" s="6" t="n">
        <v>1</v>
      </c>
      <c r="DS10" s="6" t="n">
        <v>767.24</v>
      </c>
      <c r="DT10" s="0"/>
      <c r="DU10" s="5" t="s">
        <f>=SUM(DV2:DV9)/SUM(DU2:DU9)</f>
      </c>
      <c r="DV10" s="0" t="s">
        <v>11</v>
      </c>
      <c r="DW10" s="11" t="n">
        <v>45506</v>
      </c>
      <c r="DX10" s="6" t="n">
        <v>1</v>
      </c>
      <c r="DY10" s="6" t="n">
        <v>695.04</v>
      </c>
      <c r="DZ10" s="11" t="n">
        <v>45252</v>
      </c>
      <c r="EA10" s="6" t="n">
        <v>1</v>
      </c>
      <c r="EB10" s="6" t="n">
        <v>707.93</v>
      </c>
      <c r="EC10" s="0"/>
      <c r="ED10" s="6" t="n">
        <v>7</v>
      </c>
      <c r="EE10" s="0" t="s">
        <v>878</v>
      </c>
      <c r="EF10" s="0"/>
      <c r="EG10" s="6" t="s">
        <f>=Портфель!G48*Портфель!$Q$13</f>
      </c>
      <c r="EH10" s="0" t="s">
        <v>6</v>
      </c>
      <c r="EI10" s="0"/>
      <c r="EJ10" s="6" t="n">
        <v>6</v>
      </c>
      <c r="EK10" s="0" t="s">
        <v>878</v>
      </c>
      <c r="EL10" s="0"/>
      <c r="EM10" s="6" t="n">
        <v>6</v>
      </c>
      <c r="EN10" s="0" t="s">
        <v>878</v>
      </c>
      <c r="EO10" s="0"/>
      <c r="EP10" s="6" t="s">
        <f>=Портфель!G51*Портфель!$Q$13</f>
      </c>
      <c r="EQ10" s="0" t="s">
        <v>6</v>
      </c>
      <c r="ER10" s="0"/>
      <c r="ES10" s="6" t="s">
        <f>=Портфель!H52*Портфель!$Q$13</f>
      </c>
      <c r="ET10" s="0" t="s">
        <v>7</v>
      </c>
      <c r="EU10" s="0"/>
      <c r="EV10" s="6" t="s">
        <f>=Портфель!H53*Портфель!$Q$13</f>
      </c>
      <c r="EW10" s="0" t="s">
        <v>7</v>
      </c>
      <c r="EX10" s="0"/>
      <c r="EY10" s="6" t="s">
        <f>=Портфель!H54*Портфель!$Q$13</f>
      </c>
      <c r="EZ10" s="0" t="s">
        <v>7</v>
      </c>
      <c r="FA10" s="0"/>
      <c r="FB10" s="6" t="s">
        <f>=Портфель!H55*Портфель!$Q$13</f>
      </c>
      <c r="FC10" s="0" t="s">
        <v>7</v>
      </c>
      <c r="FD10" s="0"/>
      <c r="FE10" s="5" t="s">
        <f>=FE7*(FE8*FE6/100-FE5+FE9)</f>
      </c>
      <c r="FF10" s="0" t="s">
        <v>879</v>
      </c>
      <c r="FG10" s="0"/>
      <c r="FH10" s="5" t="s">
        <f>=FH7*(FH8*FH6/100-FH5+FH9)</f>
      </c>
      <c r="FI10" s="0" t="s">
        <v>879</v>
      </c>
      <c r="FJ10" s="0"/>
      <c r="FK10" s="0"/>
      <c r="FL10" s="0"/>
      <c r="FM10" s="0"/>
      <c r="FN10" s="5" t="s">
        <f>=FN7*(FN8*FN6/100-FN5+FN9)</f>
      </c>
      <c r="FO10" s="0" t="s">
        <v>879</v>
      </c>
    </row>
    <row collapsed="false" customFormat="false" customHeight="false" hidden="false" ht="12.1" outlineLevel="0" r="11">
      <c r="A11" s="11" t="n">
        <v>45324</v>
      </c>
      <c r="B11" s="6" t="n">
        <v>10</v>
      </c>
      <c r="C11" s="6" t="n">
        <v>2776.6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5" t="s">
        <f>=N10*(ABS(N9)-ABS(N8))</f>
      </c>
      <c r="O11" s="0" t="s">
        <v>879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45541</v>
      </c>
      <c r="AC11" s="6" t="n">
        <v>100</v>
      </c>
      <c r="AD11" s="6" t="n">
        <v>363.99</v>
      </c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5" t="s">
        <f>=AL10*(ABS(AL9)-ABS(AL8))</f>
      </c>
      <c r="AM11" s="0" t="s">
        <v>879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45140</v>
      </c>
      <c r="CN11" s="6" t="n">
        <v>1</v>
      </c>
      <c r="CO11" s="6" t="n">
        <v>676.34</v>
      </c>
      <c r="CP11" s="11" t="n">
        <v>45462</v>
      </c>
      <c r="CQ11" s="6" t="n">
        <v>1</v>
      </c>
      <c r="CR11" s="6" t="n">
        <v>1076.41</v>
      </c>
      <c r="CS11" s="11" t="n">
        <v>45184</v>
      </c>
      <c r="CT11" s="6" t="n">
        <v>1</v>
      </c>
      <c r="CU11" s="6" t="n">
        <v>711.84</v>
      </c>
      <c r="CV11" s="11" t="n">
        <v>45506</v>
      </c>
      <c r="CW11" s="6" t="n">
        <v>1</v>
      </c>
      <c r="CX11" s="6" t="n">
        <v>1094.45</v>
      </c>
      <c r="CY11" s="11" t="n">
        <v>45184</v>
      </c>
      <c r="CZ11" s="6" t="n">
        <v>1</v>
      </c>
      <c r="DA11" s="6" t="n">
        <v>680.1</v>
      </c>
      <c r="DB11" s="11" t="n">
        <v>45303</v>
      </c>
      <c r="DC11" s="6" t="n">
        <v>1</v>
      </c>
      <c r="DD11" s="6" t="n">
        <v>730.47</v>
      </c>
      <c r="DE11" s="11" t="n">
        <v>45506</v>
      </c>
      <c r="DF11" s="6" t="n">
        <v>1</v>
      </c>
      <c r="DG11" s="6" t="n">
        <v>717.66</v>
      </c>
      <c r="DH11" s="11" t="n">
        <v>45267</v>
      </c>
      <c r="DI11" s="6" t="n">
        <v>1</v>
      </c>
      <c r="DJ11" s="6" t="n">
        <v>646.67</v>
      </c>
      <c r="DK11" s="0"/>
      <c r="DL11" s="5" t="s">
        <f>=SUM(DM2:DM10)/SUM(DL2:DL10)</f>
      </c>
      <c r="DM11" s="0" t="s">
        <v>11</v>
      </c>
      <c r="DN11" s="0"/>
      <c r="DO11" s="5" t="s">
        <f>=SUM(DP2:DP10)/SUM(DO2:DO10)</f>
      </c>
      <c r="DP11" s="0" t="s">
        <v>11</v>
      </c>
      <c r="DQ11" s="11" t="n">
        <v>45702</v>
      </c>
      <c r="DR11" s="6" t="n">
        <v>1</v>
      </c>
      <c r="DS11" s="6" t="n">
        <v>760.91</v>
      </c>
      <c r="DT11" s="0"/>
      <c r="DU11" s="6" t="n">
        <v>82.599</v>
      </c>
      <c r="DV11" s="0" t="s">
        <v>877</v>
      </c>
      <c r="DW11" s="11" t="n">
        <v>45566</v>
      </c>
      <c r="DX11" s="6" t="n">
        <v>1</v>
      </c>
      <c r="DY11" s="6" t="n">
        <v>667.6</v>
      </c>
      <c r="DZ11" s="11" t="n">
        <v>45356</v>
      </c>
      <c r="EA11" s="6" t="n">
        <v>1</v>
      </c>
      <c r="EB11" s="6" t="n">
        <v>627.39</v>
      </c>
      <c r="EC11" s="0"/>
      <c r="ED11" s="6" t="s">
        <f>=Портфель!G47*Портфель!$Q$13</f>
      </c>
      <c r="EE11" s="0" t="s">
        <v>6</v>
      </c>
      <c r="EF11" s="0"/>
      <c r="EG11" s="6" t="s">
        <f>=Портфель!H48*Портфель!$Q$13</f>
      </c>
      <c r="EH11" s="0" t="s">
        <v>7</v>
      </c>
      <c r="EI11" s="0"/>
      <c r="EJ11" s="6" t="s">
        <f>=Портфель!G49*Портфель!$Q$13</f>
      </c>
      <c r="EK11" s="0" t="s">
        <v>6</v>
      </c>
      <c r="EL11" s="0"/>
      <c r="EM11" s="6" t="s">
        <f>=Портфель!G50*Портфель!$Q$13</f>
      </c>
      <c r="EN11" s="0" t="s">
        <v>6</v>
      </c>
      <c r="EO11" s="0"/>
      <c r="EP11" s="6" t="s">
        <f>=Портфель!H51*Портфель!$Q$13</f>
      </c>
      <c r="EQ11" s="0" t="s">
        <v>7</v>
      </c>
      <c r="ER11" s="0"/>
      <c r="ES11" s="5" t="s">
        <f>=ES8*(ES9*ES7/100-ES6+ES10)</f>
      </c>
      <c r="ET11" s="0" t="s">
        <v>879</v>
      </c>
      <c r="EU11" s="0"/>
      <c r="EV11" s="5" t="s">
        <f>=EV8*(EV9*EV7/100-EV6+EV10)</f>
      </c>
      <c r="EW11" s="0" t="s">
        <v>879</v>
      </c>
      <c r="EX11" s="0"/>
      <c r="EY11" s="5" t="s">
        <f>=EY8*(EY9*EY7/100-EY6+EY10)</f>
      </c>
      <c r="EZ11" s="0" t="s">
        <v>879</v>
      </c>
      <c r="FA11" s="0"/>
      <c r="FB11" s="5" t="s">
        <f>=FB8*(FB9*FB7/100-FB6+FB10)</f>
      </c>
      <c r="FC11" s="0" t="s">
        <v>879</v>
      </c>
    </row>
    <row collapsed="false" customFormat="false" customHeight="false" hidden="false" ht="12.1" outlineLevel="0" r="12">
      <c r="A12" s="11" t="n">
        <v>45324</v>
      </c>
      <c r="B12" s="6" t="n">
        <v>10</v>
      </c>
      <c r="C12" s="6" t="n">
        <v>2773.8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45597</v>
      </c>
      <c r="AC12" s="6" t="n">
        <v>100</v>
      </c>
      <c r="AD12" s="6" t="n">
        <v>380.94</v>
      </c>
      <c r="AE12" s="0"/>
      <c r="AF12" s="6" t="n">
        <v>93.47</v>
      </c>
      <c r="AG12" s="0" t="s">
        <v>877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45147</v>
      </c>
      <c r="CN12" s="6" t="n">
        <v>1</v>
      </c>
      <c r="CO12" s="6" t="n">
        <v>676.34</v>
      </c>
      <c r="CP12" s="11" t="n">
        <v>45506</v>
      </c>
      <c r="CQ12" s="6" t="n">
        <v>1</v>
      </c>
      <c r="CR12" s="6" t="n">
        <v>1076.41</v>
      </c>
      <c r="CS12" s="11" t="n">
        <v>45240</v>
      </c>
      <c r="CT12" s="6" t="n">
        <v>2</v>
      </c>
      <c r="CU12" s="6" t="n">
        <v>1318.1</v>
      </c>
      <c r="CV12" s="11" t="n">
        <v>45566</v>
      </c>
      <c r="CW12" s="6" t="n">
        <v>1</v>
      </c>
      <c r="CX12" s="6" t="n">
        <v>1094.6</v>
      </c>
      <c r="CY12" s="11" t="n">
        <v>45303</v>
      </c>
      <c r="CZ12" s="6" t="n">
        <v>1</v>
      </c>
      <c r="DA12" s="6" t="n">
        <v>673.53</v>
      </c>
      <c r="DB12" s="11" t="n">
        <v>45351</v>
      </c>
      <c r="DC12" s="6" t="n">
        <v>1</v>
      </c>
      <c r="DD12" s="6" t="n">
        <v>725.98</v>
      </c>
      <c r="DE12" s="11" t="n">
        <v>45566</v>
      </c>
      <c r="DF12" s="6" t="n">
        <v>1</v>
      </c>
      <c r="DG12" s="6" t="n">
        <v>772.95</v>
      </c>
      <c r="DH12" s="11" t="n">
        <v>45371</v>
      </c>
      <c r="DI12" s="6" t="n">
        <v>1</v>
      </c>
      <c r="DJ12" s="6" t="n">
        <v>594.98</v>
      </c>
      <c r="DK12" s="0"/>
      <c r="DL12" s="6" t="n">
        <v>70.21</v>
      </c>
      <c r="DM12" s="0" t="s">
        <v>877</v>
      </c>
      <c r="DN12" s="0"/>
      <c r="DO12" s="6" t="n">
        <v>76.04</v>
      </c>
      <c r="DP12" s="0" t="s">
        <v>877</v>
      </c>
      <c r="DQ12" s="0"/>
      <c r="DR12" s="5" t="s">
        <f>=SUM(DS2:DS11)/SUM(DR2:DR11)</f>
      </c>
      <c r="DS12" s="0" t="s">
        <v>11</v>
      </c>
      <c r="DT12" s="0"/>
      <c r="DU12" s="6" t="n">
        <v>8</v>
      </c>
      <c r="DV12" s="0" t="s">
        <v>878</v>
      </c>
      <c r="DW12" s="0"/>
      <c r="DX12" s="5" t="s">
        <f>=SUM(DY2:DY11)/SUM(DX2:DX11)</f>
      </c>
      <c r="DY12" s="0" t="s">
        <v>11</v>
      </c>
      <c r="DZ12" s="0"/>
      <c r="EA12" s="5" t="s">
        <f>=SUM(EB2:EB11)/SUM(EA2:EA11)</f>
      </c>
      <c r="EB12" s="0" t="s">
        <v>11</v>
      </c>
      <c r="EC12" s="0"/>
      <c r="ED12" s="6" t="s">
        <f>=Портфель!H47*Портфель!$Q$13</f>
      </c>
      <c r="EE12" s="0" t="s">
        <v>7</v>
      </c>
      <c r="EF12" s="0"/>
      <c r="EG12" s="5" t="s">
        <f>=EG9*(EG10*EG8/100-EG7+EG11)</f>
      </c>
      <c r="EH12" s="0" t="s">
        <v>879</v>
      </c>
      <c r="EI12" s="0"/>
      <c r="EJ12" s="6" t="s">
        <f>=Портфель!H49*Портфель!$Q$13</f>
      </c>
      <c r="EK12" s="0" t="s">
        <v>7</v>
      </c>
      <c r="EL12" s="0"/>
      <c r="EM12" s="6" t="s">
        <f>=Портфель!H50*Портфель!$Q$13</f>
      </c>
      <c r="EN12" s="0" t="s">
        <v>7</v>
      </c>
      <c r="EO12" s="0"/>
      <c r="EP12" s="5" t="s">
        <f>=EP9*(EP10*EP8/100-EP7+EP11)</f>
      </c>
      <c r="EQ12" s="0" t="s">
        <v>879</v>
      </c>
    </row>
    <row collapsed="false" customFormat="false" customHeight="false" hidden="false" ht="12.1" outlineLevel="0" r="13">
      <c r="A13" s="11" t="n">
        <v>45324</v>
      </c>
      <c r="B13" s="6" t="n">
        <v>10</v>
      </c>
      <c r="C13" s="6" t="n">
        <v>2775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45639</v>
      </c>
      <c r="AC13" s="6" t="n">
        <v>100</v>
      </c>
      <c r="AD13" s="6" t="n">
        <v>359.48</v>
      </c>
      <c r="AE13" s="0"/>
      <c r="AF13" s="6" t="n">
        <v>50</v>
      </c>
      <c r="AG13" s="0" t="s">
        <v>878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45184</v>
      </c>
      <c r="CN13" s="6" t="n">
        <v>2</v>
      </c>
      <c r="CO13" s="6" t="n">
        <v>1371.7</v>
      </c>
      <c r="CP13" s="11" t="n">
        <v>45566</v>
      </c>
      <c r="CQ13" s="6" t="n">
        <v>1</v>
      </c>
      <c r="CR13" s="6" t="n">
        <v>1084.33</v>
      </c>
      <c r="CS13" s="11" t="n">
        <v>45266</v>
      </c>
      <c r="CT13" s="6" t="n">
        <v>2</v>
      </c>
      <c r="CU13" s="6" t="n">
        <v>1319.46</v>
      </c>
      <c r="CV13" s="0"/>
      <c r="CW13" s="5" t="s">
        <f>=SUM(CX2:CX12)/SUM(CW2:CW12)</f>
      </c>
      <c r="CX13" s="0" t="s">
        <v>11</v>
      </c>
      <c r="CY13" s="11" t="n">
        <v>45336</v>
      </c>
      <c r="CZ13" s="6" t="n">
        <v>1</v>
      </c>
      <c r="DA13" s="6" t="n">
        <v>636.15</v>
      </c>
      <c r="DB13" s="11" t="n">
        <v>45351</v>
      </c>
      <c r="DC13" s="6" t="n">
        <v>1</v>
      </c>
      <c r="DD13" s="6" t="n">
        <v>649.19</v>
      </c>
      <c r="DE13" s="11" t="n">
        <v>45566</v>
      </c>
      <c r="DF13" s="6" t="n">
        <v>1</v>
      </c>
      <c r="DG13" s="6" t="n">
        <v>759.68</v>
      </c>
      <c r="DH13" s="11" t="n">
        <v>45387</v>
      </c>
      <c r="DI13" s="6" t="n">
        <v>1</v>
      </c>
      <c r="DJ13" s="6" t="n">
        <v>594.76</v>
      </c>
      <c r="DK13" s="0"/>
      <c r="DL13" s="6" t="n">
        <v>12</v>
      </c>
      <c r="DM13" s="0" t="s">
        <v>878</v>
      </c>
      <c r="DN13" s="0"/>
      <c r="DO13" s="6" t="n">
        <v>10</v>
      </c>
      <c r="DP13" s="0" t="s">
        <v>878</v>
      </c>
      <c r="DQ13" s="0"/>
      <c r="DR13" s="6" t="n">
        <v>74.449</v>
      </c>
      <c r="DS13" s="0" t="s">
        <v>877</v>
      </c>
      <c r="DT13" s="0"/>
      <c r="DU13" s="6" t="s">
        <f>=Портфель!G44*Портфель!$Q$13</f>
      </c>
      <c r="DV13" s="0" t="s">
        <v>6</v>
      </c>
      <c r="DW13" s="0"/>
      <c r="DX13" s="6" t="n">
        <v>67.31</v>
      </c>
      <c r="DY13" s="0" t="s">
        <v>877</v>
      </c>
      <c r="DZ13" s="0"/>
      <c r="EA13" s="6" t="n">
        <v>62.747</v>
      </c>
      <c r="EB13" s="0" t="s">
        <v>877</v>
      </c>
      <c r="EC13" s="0"/>
      <c r="ED13" s="5" t="s">
        <f>=ED10*(ED11*ED9/100-ED8+ED12)</f>
      </c>
      <c r="EE13" s="0" t="s">
        <v>879</v>
      </c>
      <c r="EF13" s="0"/>
      <c r="EG13" s="0"/>
      <c r="EH13" s="0"/>
      <c r="EI13" s="0"/>
      <c r="EJ13" s="5" t="s">
        <f>=EJ10*(EJ11*EJ9/100-EJ8+EJ12)</f>
      </c>
      <c r="EK13" s="0" t="s">
        <v>879</v>
      </c>
      <c r="EL13" s="0"/>
      <c r="EM13" s="5" t="s">
        <f>=EM10*(EM11*EM9/100-EM8+EM12)</f>
      </c>
      <c r="EN13" s="0" t="s">
        <v>879</v>
      </c>
    </row>
    <row collapsed="false" customFormat="false" customHeight="false" hidden="false" ht="12.1" outlineLevel="0" r="14">
      <c r="A14" s="11" t="n">
        <v>45418</v>
      </c>
      <c r="B14" s="6" t="n">
        <v>10</v>
      </c>
      <c r="C14" s="6" t="n">
        <v>3082.42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5" t="s">
        <f>=SUM(AD2:AD13)/SUM(AC2:AC13)</f>
      </c>
      <c r="AD14" s="0" t="s">
        <v>11</v>
      </c>
      <c r="AE14" s="0"/>
      <c r="AF14" s="5" t="s">
        <f>=AF13*(ABS(AF12)-ABS(AF11))</f>
      </c>
      <c r="AG14" s="0" t="s">
        <v>879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45184</v>
      </c>
      <c r="CN14" s="6" t="n">
        <v>3</v>
      </c>
      <c r="CO14" s="6" t="n">
        <v>2007.33</v>
      </c>
      <c r="CP14" s="11" t="n">
        <v>45566</v>
      </c>
      <c r="CQ14" s="6" t="n">
        <v>1</v>
      </c>
      <c r="CR14" s="6" t="n">
        <v>1084.33</v>
      </c>
      <c r="CS14" s="11" t="n">
        <v>45267</v>
      </c>
      <c r="CT14" s="6" t="n">
        <v>1</v>
      </c>
      <c r="CU14" s="6" t="n">
        <v>661.05</v>
      </c>
      <c r="CV14" s="0"/>
      <c r="CW14" s="6" t="n">
        <v>105.449</v>
      </c>
      <c r="CX14" s="0" t="s">
        <v>877</v>
      </c>
      <c r="CY14" s="11" t="n">
        <v>45351</v>
      </c>
      <c r="CZ14" s="6" t="n">
        <v>1</v>
      </c>
      <c r="DA14" s="6" t="n">
        <v>602.21</v>
      </c>
      <c r="DB14" s="11" t="n">
        <v>45356</v>
      </c>
      <c r="DC14" s="6" t="n">
        <v>1</v>
      </c>
      <c r="DD14" s="6" t="n">
        <v>610.68</v>
      </c>
      <c r="DE14" s="11" t="n">
        <v>45581</v>
      </c>
      <c r="DF14" s="6" t="n">
        <v>1</v>
      </c>
      <c r="DG14" s="6" t="n">
        <v>759.68</v>
      </c>
      <c r="DH14" s="11" t="n">
        <v>45387</v>
      </c>
      <c r="DI14" s="6" t="n">
        <v>1</v>
      </c>
      <c r="DJ14" s="6" t="n">
        <v>664.15</v>
      </c>
      <c r="DK14" s="0"/>
      <c r="DL14" s="6" t="s">
        <f>=Портфель!G41*Портфель!$Q$13</f>
      </c>
      <c r="DM14" s="0" t="s">
        <v>6</v>
      </c>
      <c r="DN14" s="0"/>
      <c r="DO14" s="6" t="s">
        <f>=Портфель!G42*Портфель!$Q$13</f>
      </c>
      <c r="DP14" s="0" t="s">
        <v>6</v>
      </c>
      <c r="DQ14" s="0"/>
      <c r="DR14" s="6" t="n">
        <v>10</v>
      </c>
      <c r="DS14" s="0" t="s">
        <v>878</v>
      </c>
      <c r="DT14" s="0"/>
      <c r="DU14" s="6" t="s">
        <f>=Портфель!H44*Портфель!$Q$13</f>
      </c>
      <c r="DV14" s="0" t="s">
        <v>7</v>
      </c>
      <c r="DW14" s="0"/>
      <c r="DX14" s="6" t="n">
        <v>10</v>
      </c>
      <c r="DY14" s="0" t="s">
        <v>878</v>
      </c>
      <c r="DZ14" s="0"/>
      <c r="EA14" s="6" t="n">
        <v>10</v>
      </c>
      <c r="EB14" s="0" t="s">
        <v>878</v>
      </c>
    </row>
    <row collapsed="false" customFormat="false" customHeight="false" hidden="false" ht="12.1" outlineLevel="0" r="15">
      <c r="A15" s="11" t="n">
        <v>45597</v>
      </c>
      <c r="B15" s="6" t="n">
        <v>30</v>
      </c>
      <c r="C15" s="6" t="n">
        <v>7072.65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6" t="n">
        <v>3.598</v>
      </c>
      <c r="AD15" s="0" t="s">
        <v>877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11" t="n">
        <v>45184</v>
      </c>
      <c r="CN15" s="6" t="n">
        <v>1</v>
      </c>
      <c r="CO15" s="6" t="n">
        <v>644.92</v>
      </c>
      <c r="CP15" s="0"/>
      <c r="CQ15" s="5" t="s">
        <f>=SUM(CR2:CR14)/SUM(CQ2:CQ14)</f>
      </c>
      <c r="CR15" s="0" t="s">
        <v>11</v>
      </c>
      <c r="CS15" s="11" t="n">
        <v>45303</v>
      </c>
      <c r="CT15" s="6" t="n">
        <v>1</v>
      </c>
      <c r="CU15" s="6" t="n">
        <v>655.1</v>
      </c>
      <c r="CV15" s="0"/>
      <c r="CW15" s="6" t="n">
        <v>11</v>
      </c>
      <c r="CX15" s="0" t="s">
        <v>878</v>
      </c>
      <c r="CY15" s="11" t="n">
        <v>45356</v>
      </c>
      <c r="CZ15" s="6" t="n">
        <v>1</v>
      </c>
      <c r="DA15" s="6" t="n">
        <v>594.05</v>
      </c>
      <c r="DB15" s="11" t="n">
        <v>45385</v>
      </c>
      <c r="DC15" s="6" t="n">
        <v>1</v>
      </c>
      <c r="DD15" s="6" t="n">
        <v>600.32</v>
      </c>
      <c r="DE15" s="0"/>
      <c r="DF15" s="5" t="s">
        <f>=SUM(DG2:DG14)/SUM(DF2:DF14)</f>
      </c>
      <c r="DG15" s="0" t="s">
        <v>11</v>
      </c>
      <c r="DH15" s="0"/>
      <c r="DI15" s="5" t="s">
        <f>=SUM(DJ2:DJ14)/SUM(DI2:DI14)</f>
      </c>
      <c r="DJ15" s="0" t="s">
        <v>11</v>
      </c>
      <c r="DK15" s="0"/>
      <c r="DL15" s="6" t="s">
        <f>=Портфель!H41*Портфель!$Q$13</f>
      </c>
      <c r="DM15" s="0" t="s">
        <v>7</v>
      </c>
      <c r="DN15" s="0"/>
      <c r="DO15" s="6" t="s">
        <f>=Портфель!H42*Портфель!$Q$13</f>
      </c>
      <c r="DP15" s="0" t="s">
        <v>7</v>
      </c>
      <c r="DQ15" s="0"/>
      <c r="DR15" s="6" t="s">
        <f>=Портфель!G43*Портфель!$Q$13</f>
      </c>
      <c r="DS15" s="0" t="s">
        <v>6</v>
      </c>
      <c r="DT15" s="0"/>
      <c r="DU15" s="5" t="s">
        <f>=DU12*(DU13*DU11/100-DU10+DU14)</f>
      </c>
      <c r="DV15" s="0" t="s">
        <v>879</v>
      </c>
      <c r="DW15" s="0"/>
      <c r="DX15" s="6" t="s">
        <f>=Портфель!G45*Портфель!$Q$13</f>
      </c>
      <c r="DY15" s="0" t="s">
        <v>6</v>
      </c>
      <c r="DZ15" s="0"/>
      <c r="EA15" s="6" t="s">
        <f>=Портфель!G46*Портфель!$Q$13</f>
      </c>
      <c r="EB15" s="0" t="s">
        <v>6</v>
      </c>
    </row>
    <row collapsed="false" customFormat="false" customHeight="false" hidden="false" ht="12.1" outlineLevel="0" r="16">
      <c r="A16" s="11" t="n">
        <v>45639</v>
      </c>
      <c r="B16" s="6" t="n">
        <v>20</v>
      </c>
      <c r="C16" s="6" t="n">
        <v>4579.5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1400</v>
      </c>
      <c r="AD16" s="0" t="s">
        <v>878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11" t="n">
        <v>45240</v>
      </c>
      <c r="CN16" s="6" t="n">
        <v>4</v>
      </c>
      <c r="CO16" s="6" t="n">
        <v>2579.7</v>
      </c>
      <c r="CP16" s="0"/>
      <c r="CQ16" s="6" t="n">
        <v>105.603</v>
      </c>
      <c r="CR16" s="0" t="s">
        <v>877</v>
      </c>
      <c r="CS16" s="11" t="n">
        <v>45351</v>
      </c>
      <c r="CT16" s="6" t="n">
        <v>1</v>
      </c>
      <c r="CU16" s="6" t="n">
        <v>618.7</v>
      </c>
      <c r="CV16" s="0"/>
      <c r="CW16" s="6" t="s">
        <f>=Портфель!G36*Портфель!$Q$13</f>
      </c>
      <c r="CX16" s="0" t="s">
        <v>6</v>
      </c>
      <c r="CY16" s="11" t="n">
        <v>45387</v>
      </c>
      <c r="CZ16" s="6" t="n">
        <v>1</v>
      </c>
      <c r="DA16" s="6" t="n">
        <v>587.83</v>
      </c>
      <c r="DB16" s="11" t="n">
        <v>45387</v>
      </c>
      <c r="DC16" s="6" t="n">
        <v>1</v>
      </c>
      <c r="DD16" s="6" t="n">
        <v>607.69</v>
      </c>
      <c r="DE16" s="0"/>
      <c r="DF16" s="6" t="n">
        <v>75.345</v>
      </c>
      <c r="DG16" s="0" t="s">
        <v>877</v>
      </c>
      <c r="DH16" s="0"/>
      <c r="DI16" s="6" t="n">
        <v>65.94</v>
      </c>
      <c r="DJ16" s="0" t="s">
        <v>877</v>
      </c>
      <c r="DK16" s="0"/>
      <c r="DL16" s="5" t="s">
        <f>=DL13*(DL14*DL12/100-DL11+DL15)</f>
      </c>
      <c r="DM16" s="0" t="s">
        <v>879</v>
      </c>
      <c r="DN16" s="0"/>
      <c r="DO16" s="5" t="s">
        <f>=DO13*(DO14*DO12/100-DO11+DO15)</f>
      </c>
      <c r="DP16" s="0" t="s">
        <v>879</v>
      </c>
      <c r="DQ16" s="0"/>
      <c r="DR16" s="6" t="s">
        <f>=Портфель!H43*Портфель!$Q$13</f>
      </c>
      <c r="DS16" s="0" t="s">
        <v>7</v>
      </c>
      <c r="DT16" s="0"/>
      <c r="DU16" s="0"/>
      <c r="DV16" s="0"/>
      <c r="DW16" s="0"/>
      <c r="DX16" s="6" t="s">
        <f>=Портфель!H45*Портфель!$Q$13</f>
      </c>
      <c r="DY16" s="0" t="s">
        <v>7</v>
      </c>
      <c r="DZ16" s="0"/>
      <c r="EA16" s="6" t="s">
        <f>=Портфель!H46*Портфель!$Q$13</f>
      </c>
      <c r="EB16" s="0" t="s">
        <v>7</v>
      </c>
    </row>
    <row collapsed="false" customFormat="false" customHeight="false" hidden="false" ht="12.1" outlineLevel="0" r="17">
      <c r="A17" s="0"/>
      <c r="B17" s="5" t="s">
        <f>=SUM(C2:C16)/SUM(B2:B16)</f>
      </c>
      <c r="C17" s="0" t="s">
        <v>11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5" t="s">
        <f>=AC16*(ABS(AC15)-ABS(AC14))</f>
      </c>
      <c r="AD17" s="0" t="s">
        <v>879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11" t="n">
        <v>45267</v>
      </c>
      <c r="CN17" s="6" t="n">
        <v>1</v>
      </c>
      <c r="CO17" s="6" t="n">
        <v>640.83</v>
      </c>
      <c r="CP17" s="0"/>
      <c r="CQ17" s="6" t="n">
        <v>14</v>
      </c>
      <c r="CR17" s="0" t="s">
        <v>878</v>
      </c>
      <c r="CS17" s="11" t="n">
        <v>45356</v>
      </c>
      <c r="CT17" s="6" t="n">
        <v>4</v>
      </c>
      <c r="CU17" s="6" t="n">
        <v>2185.88</v>
      </c>
      <c r="CV17" s="0"/>
      <c r="CW17" s="6" t="s">
        <f>=Портфель!H36*Портфель!$Q$13</f>
      </c>
      <c r="CX17" s="0" t="s">
        <v>7</v>
      </c>
      <c r="CY17" s="11" t="n">
        <v>45447</v>
      </c>
      <c r="CZ17" s="6" t="n">
        <v>1</v>
      </c>
      <c r="DA17" s="6" t="n">
        <v>570.58</v>
      </c>
      <c r="DB17" s="0"/>
      <c r="DC17" s="5" t="s">
        <f>=SUM(DD2:DD16)/SUM(DC2:DC16)</f>
      </c>
      <c r="DD17" s="0" t="s">
        <v>11</v>
      </c>
      <c r="DE17" s="0"/>
      <c r="DF17" s="6" t="n">
        <v>13</v>
      </c>
      <c r="DG17" s="0" t="s">
        <v>878</v>
      </c>
      <c r="DH17" s="0"/>
      <c r="DI17" s="6" t="n">
        <v>14</v>
      </c>
      <c r="DJ17" s="0" t="s">
        <v>878</v>
      </c>
      <c r="DK17" s="0"/>
      <c r="DL17" s="0"/>
      <c r="DM17" s="0"/>
      <c r="DN17" s="0"/>
      <c r="DO17" s="0"/>
      <c r="DP17" s="0"/>
      <c r="DQ17" s="0"/>
      <c r="DR17" s="5" t="s">
        <f>=DR14*(DR15*DR13/100-DR12+DR16)</f>
      </c>
      <c r="DS17" s="0" t="s">
        <v>879</v>
      </c>
      <c r="DT17" s="0"/>
      <c r="DU17" s="0"/>
      <c r="DV17" s="0"/>
      <c r="DW17" s="0"/>
      <c r="DX17" s="5" t="s">
        <f>=DX14*(DX15*DX13/100-DX12+DX16)</f>
      </c>
      <c r="DY17" s="0" t="s">
        <v>879</v>
      </c>
      <c r="DZ17" s="0"/>
      <c r="EA17" s="5" t="s">
        <f>=EA14*(EA15*EA13/100-EA12+EA16)</f>
      </c>
      <c r="EB17" s="0" t="s">
        <v>879</v>
      </c>
    </row>
    <row collapsed="false" customFormat="false" customHeight="false" hidden="false" ht="12.1" outlineLevel="0" r="18">
      <c r="A18" s="0"/>
      <c r="B18" s="6" t="n">
        <v>309.63</v>
      </c>
      <c r="C18" s="0" t="s">
        <v>877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11" t="n">
        <v>45322</v>
      </c>
      <c r="CN18" s="6" t="n">
        <v>3</v>
      </c>
      <c r="CO18" s="6" t="n">
        <v>1817.45</v>
      </c>
      <c r="CP18" s="0"/>
      <c r="CQ18" s="6" t="s">
        <f>=Портфель!G34*Портфель!$Q$13</f>
      </c>
      <c r="CR18" s="0" t="s">
        <v>6</v>
      </c>
      <c r="CS18" s="11" t="n">
        <v>45387</v>
      </c>
      <c r="CT18" s="6" t="n">
        <v>1</v>
      </c>
      <c r="CU18" s="6" t="n">
        <v>556.13</v>
      </c>
      <c r="CV18" s="0"/>
      <c r="CW18" s="5" t="s">
        <f>=CW15*(CW16*CW14/100-CW13+CW17)</f>
      </c>
      <c r="CX18" s="0" t="s">
        <v>879</v>
      </c>
      <c r="CY18" s="0"/>
      <c r="CZ18" s="5" t="s">
        <f>=SUM(DA2:DA17)/SUM(CZ2:CZ17)</f>
      </c>
      <c r="DA18" s="0" t="s">
        <v>11</v>
      </c>
      <c r="DB18" s="0"/>
      <c r="DC18" s="6" t="n">
        <v>59.595</v>
      </c>
      <c r="DD18" s="0" t="s">
        <v>877</v>
      </c>
      <c r="DE18" s="0"/>
      <c r="DF18" s="6" t="s">
        <f>=Портфель!G39*Портфель!$Q$13</f>
      </c>
      <c r="DG18" s="0" t="s">
        <v>6</v>
      </c>
      <c r="DH18" s="0"/>
      <c r="DI18" s="6" t="s">
        <f>=Портфель!G40*Портфель!$Q$13</f>
      </c>
      <c r="DJ18" s="0" t="s">
        <v>6</v>
      </c>
    </row>
    <row collapsed="false" customFormat="false" customHeight="false" hidden="false" ht="12.1" outlineLevel="0" r="19">
      <c r="A19" s="0"/>
      <c r="B19" s="6" t="n">
        <v>180</v>
      </c>
      <c r="C19" s="0" t="s">
        <v>878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11" t="n">
        <v>45351</v>
      </c>
      <c r="CN19" s="6" t="n">
        <v>1</v>
      </c>
      <c r="CO19" s="6" t="n">
        <v>571.14</v>
      </c>
      <c r="CP19" s="0"/>
      <c r="CQ19" s="6" t="s">
        <f>=Портфель!H34*Портфель!$Q$13</f>
      </c>
      <c r="CR19" s="0" t="s">
        <v>7</v>
      </c>
      <c r="CS19" s="0"/>
      <c r="CT19" s="5" t="s">
        <f>=SUM(CU2:CU18)/SUM(CT2:CT18)</f>
      </c>
      <c r="CU19" s="0" t="s">
        <v>11</v>
      </c>
      <c r="CV19" s="0"/>
      <c r="CW19" s="0"/>
      <c r="CX19" s="0"/>
      <c r="CY19" s="0"/>
      <c r="CZ19" s="6" t="n">
        <v>58.569</v>
      </c>
      <c r="DA19" s="0" t="s">
        <v>877</v>
      </c>
      <c r="DB19" s="0"/>
      <c r="DC19" s="6" t="n">
        <v>17</v>
      </c>
      <c r="DD19" s="0" t="s">
        <v>878</v>
      </c>
      <c r="DE19" s="0"/>
      <c r="DF19" s="6" t="s">
        <f>=Портфель!H39*Портфель!$Q$13</f>
      </c>
      <c r="DG19" s="0" t="s">
        <v>7</v>
      </c>
      <c r="DH19" s="0"/>
      <c r="DI19" s="6" t="s">
        <f>=Портфель!H40*Портфель!$Q$13</f>
      </c>
      <c r="DJ19" s="0" t="s">
        <v>7</v>
      </c>
    </row>
    <row collapsed="false" customFormat="false" customHeight="false" hidden="false" ht="12.1" outlineLevel="0" r="20">
      <c r="A20" s="0"/>
      <c r="B20" s="5" t="s">
        <f>=B19*(ABS(B18)-ABS(B17))</f>
      </c>
      <c r="C20" s="0" t="s">
        <v>879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11" t="n">
        <v>45351</v>
      </c>
      <c r="CN20" s="6" t="n">
        <v>1</v>
      </c>
      <c r="CO20" s="6" t="n">
        <v>544.85</v>
      </c>
      <c r="CP20" s="0"/>
      <c r="CQ20" s="5" t="s">
        <f>=CQ17*(CQ18*CQ16/100-CQ15+CQ19)</f>
      </c>
      <c r="CR20" s="0" t="s">
        <v>879</v>
      </c>
      <c r="CS20" s="0"/>
      <c r="CT20" s="6" t="n">
        <v>54.323</v>
      </c>
      <c r="CU20" s="0" t="s">
        <v>877</v>
      </c>
      <c r="CV20" s="0"/>
      <c r="CW20" s="0"/>
      <c r="CX20" s="0"/>
      <c r="CY20" s="0"/>
      <c r="CZ20" s="6" t="n">
        <v>19</v>
      </c>
      <c r="DA20" s="0" t="s">
        <v>878</v>
      </c>
      <c r="DB20" s="0"/>
      <c r="DC20" s="6" t="s">
        <f>=Портфель!G38*Портфель!$Q$13</f>
      </c>
      <c r="DD20" s="0" t="s">
        <v>6</v>
      </c>
      <c r="DE20" s="0"/>
      <c r="DF20" s="5" t="s">
        <f>=DF17*(DF18*DF16/100-DF15+DF19)</f>
      </c>
      <c r="DG20" s="0" t="s">
        <v>879</v>
      </c>
      <c r="DH20" s="0"/>
      <c r="DI20" s="5" t="s">
        <f>=DI17*(DI18*DI16/100-DI15+DI19)</f>
      </c>
      <c r="DJ20" s="0" t="s">
        <v>879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5" t="s">
        <f>=SUM(CO2:CO20)/SUM(CN2:CN20)</f>
      </c>
      <c r="CO21" s="0" t="s">
        <v>11</v>
      </c>
      <c r="CP21" s="0"/>
      <c r="CQ21" s="0"/>
      <c r="CR21" s="0"/>
      <c r="CS21" s="0"/>
      <c r="CT21" s="6" t="n">
        <v>23</v>
      </c>
      <c r="CU21" s="0" t="s">
        <v>878</v>
      </c>
      <c r="CV21" s="0"/>
      <c r="CW21" s="0"/>
      <c r="CX21" s="0"/>
      <c r="CY21" s="0"/>
      <c r="CZ21" s="6" t="s">
        <f>=Портфель!G37*Портфель!$Q$13</f>
      </c>
      <c r="DA21" s="0" t="s">
        <v>6</v>
      </c>
      <c r="DB21" s="0"/>
      <c r="DC21" s="6" t="s">
        <f>=Портфель!H38*Портфель!$Q$13</f>
      </c>
      <c r="DD21" s="0" t="s">
        <v>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6" t="n">
        <v>55.132</v>
      </c>
      <c r="CO22" s="0" t="s">
        <v>877</v>
      </c>
      <c r="CP22" s="0"/>
      <c r="CQ22" s="0"/>
      <c r="CR22" s="0"/>
      <c r="CS22" s="0"/>
      <c r="CT22" s="6" t="s">
        <f>=Портфель!G35*Портфель!$Q$13</f>
      </c>
      <c r="CU22" s="0" t="s">
        <v>6</v>
      </c>
      <c r="CV22" s="0"/>
      <c r="CW22" s="0"/>
      <c r="CX22" s="0"/>
      <c r="CY22" s="0"/>
      <c r="CZ22" s="6" t="s">
        <f>=Портфель!H37*Портфель!$Q$13</f>
      </c>
      <c r="DA22" s="0" t="s">
        <v>7</v>
      </c>
      <c r="DB22" s="0"/>
      <c r="DC22" s="5" t="s">
        <f>=DC19*(DC20*DC18/100-DC17+DC21)</f>
      </c>
      <c r="DD22" s="0" t="s">
        <v>879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6" t="n">
        <v>31</v>
      </c>
      <c r="CO23" s="0" t="s">
        <v>878</v>
      </c>
      <c r="CP23" s="0"/>
      <c r="CQ23" s="0"/>
      <c r="CR23" s="0"/>
      <c r="CS23" s="0"/>
      <c r="CT23" s="6" t="s">
        <f>=Портфель!H35*Портфель!$Q$13</f>
      </c>
      <c r="CU23" s="0" t="s">
        <v>7</v>
      </c>
      <c r="CV23" s="0"/>
      <c r="CW23" s="0"/>
      <c r="CX23" s="0"/>
      <c r="CY23" s="0"/>
      <c r="CZ23" s="5" t="s">
        <f>=CZ20*(CZ21*CZ19/100-CZ18+CZ22)</f>
      </c>
      <c r="DA23" s="0" t="s">
        <v>879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6" t="s">
        <f>=Портфель!G33*Портфель!$Q$13</f>
      </c>
      <c r="CO24" s="0" t="s">
        <v>6</v>
      </c>
      <c r="CP24" s="0"/>
      <c r="CQ24" s="0"/>
      <c r="CR24" s="0"/>
      <c r="CS24" s="0"/>
      <c r="CT24" s="5" t="s">
        <f>=CT21*(CT22*CT20/100-CT19+CT23)</f>
      </c>
      <c r="CU24" s="0" t="s">
        <v>879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6" t="s">
        <f>=Портфель!H33*Портфель!$Q$13</f>
      </c>
      <c r="CO25" s="0" t="s">
        <v>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5" t="s">
        <f>=CN23*(CN24*CN22/100-CN21+CN25)</f>
      </c>
      <c r="CO26" s="0" t="s">
        <v>879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328</v>
      </c>
      <c r="B1" s="18" t="s">
        <v>0</v>
      </c>
      <c r="C1" s="18" t="s">
        <v>2</v>
      </c>
      <c r="D1" s="18" t="s">
        <v>880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881</v>
      </c>
      <c r="L1" s="18" t="s">
        <v>882</v>
      </c>
      <c r="M1" s="18" t="s">
        <v>20</v>
      </c>
      <c r="N1" s="18" t="s">
        <v>42</v>
      </c>
      <c r="O1" s="18" t="s">
        <v>883</v>
      </c>
    </row>
    <row collapsed="false" customFormat="false" customHeight="false" hidden="false" ht="12.1" outlineLevel="0" r="2">
      <c r="A2" s="21" t="n">
        <v>44692.29755787</v>
      </c>
      <c r="B2" s="22" t="s">
        <v>884</v>
      </c>
      <c r="C2" s="22" t="s">
        <v>336</v>
      </c>
      <c r="D2" s="22" t="s">
        <v>884</v>
      </c>
      <c r="E2" s="22" t="s">
        <v>884</v>
      </c>
      <c r="F2" s="22" t="s">
        <v>20</v>
      </c>
      <c r="G2" s="23" t="n">
        <v>1</v>
      </c>
      <c r="H2" s="24" t="n">
        <v>1</v>
      </c>
      <c r="I2" s="24" t="n">
        <v>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1" t="n">
        <v>44692.434421296</v>
      </c>
      <c r="B3" s="22" t="s">
        <v>884</v>
      </c>
      <c r="C3" s="22" t="s">
        <v>336</v>
      </c>
      <c r="D3" s="22" t="s">
        <v>884</v>
      </c>
      <c r="E3" s="22" t="s">
        <v>884</v>
      </c>
      <c r="F3" s="22" t="s">
        <v>20</v>
      </c>
      <c r="G3" s="23" t="n">
        <v>1</v>
      </c>
      <c r="H3" s="24" t="n">
        <v>1</v>
      </c>
      <c r="I3" s="24" t="n">
        <v>1510.65</v>
      </c>
      <c r="J3" s="24" t="n">
        <v>0</v>
      </c>
      <c r="K3" s="24" t="n">
        <v>0</v>
      </c>
      <c r="L3" s="24" t="n">
        <v>0</v>
      </c>
      <c r="M3" s="6" t="s">
        <f>=I3+J3+K3+L3</f>
      </c>
      <c r="N3" s="24"/>
      <c r="O3" s="22"/>
    </row>
    <row collapsed="false" customFormat="false" customHeight="false" hidden="false" ht="12.1" outlineLevel="0" r="4">
      <c r="A4" s="20" t="n">
        <v>44692.469664352</v>
      </c>
      <c r="B4" s="2" t="s">
        <v>760</v>
      </c>
      <c r="C4" s="2" t="s">
        <v>885</v>
      </c>
      <c r="D4" s="2" t="s">
        <v>757</v>
      </c>
      <c r="E4" s="2" t="s">
        <v>96</v>
      </c>
      <c r="F4" s="2" t="s">
        <v>20</v>
      </c>
      <c r="G4" s="7" t="n">
        <v>1</v>
      </c>
      <c r="H4" s="6" t="n">
        <v>100.05</v>
      </c>
      <c r="I4" s="6" t="n">
        <v>-1000.5</v>
      </c>
      <c r="J4" s="6" t="n">
        <v>-6.6</v>
      </c>
      <c r="K4" s="6" t="n">
        <v>-3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1" t="n">
        <v>44693.291979167</v>
      </c>
      <c r="B5" s="22" t="s">
        <v>884</v>
      </c>
      <c r="C5" s="22" t="s">
        <v>336</v>
      </c>
      <c r="D5" s="22" t="s">
        <v>884</v>
      </c>
      <c r="E5" s="22" t="s">
        <v>884</v>
      </c>
      <c r="F5" s="22" t="s">
        <v>20</v>
      </c>
      <c r="G5" s="23" t="n">
        <v>1</v>
      </c>
      <c r="H5" s="24" t="n">
        <v>1</v>
      </c>
      <c r="I5" s="24" t="n">
        <v>100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4"/>
      <c r="O5" s="22"/>
    </row>
    <row collapsed="false" customFormat="false" customHeight="false" hidden="false" ht="12.1" outlineLevel="0" r="6">
      <c r="A6" s="21" t="n">
        <v>44693.50037037</v>
      </c>
      <c r="B6" s="22" t="s">
        <v>884</v>
      </c>
      <c r="C6" s="22" t="s">
        <v>336</v>
      </c>
      <c r="D6" s="22" t="s">
        <v>884</v>
      </c>
      <c r="E6" s="22" t="s">
        <v>884</v>
      </c>
      <c r="F6" s="22" t="s">
        <v>20</v>
      </c>
      <c r="G6" s="23" t="n">
        <v>1</v>
      </c>
      <c r="H6" s="24" t="n">
        <v>1</v>
      </c>
      <c r="I6" s="24" t="n">
        <v>300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4"/>
      <c r="O6" s="22"/>
    </row>
    <row collapsed="false" customFormat="false" customHeight="false" hidden="false" ht="12.1" outlineLevel="0" r="7">
      <c r="A7" s="20" t="n">
        <v>44693.50755787</v>
      </c>
      <c r="B7" s="2" t="s">
        <v>761</v>
      </c>
      <c r="C7" s="2" t="s">
        <v>886</v>
      </c>
      <c r="D7" s="2" t="s">
        <v>757</v>
      </c>
      <c r="E7" s="2" t="s">
        <v>96</v>
      </c>
      <c r="F7" s="2" t="s">
        <v>20</v>
      </c>
      <c r="G7" s="7" t="n">
        <v>1</v>
      </c>
      <c r="H7" s="6" t="n">
        <v>87.35</v>
      </c>
      <c r="I7" s="6" t="n">
        <v>-873.5</v>
      </c>
      <c r="J7" s="6" t="n">
        <v>-1.86</v>
      </c>
      <c r="K7" s="6" t="n">
        <v>-2.62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1" t="n">
        <v>44694.718657407</v>
      </c>
      <c r="B8" s="22" t="s">
        <v>884</v>
      </c>
      <c r="C8" s="22" t="s">
        <v>336</v>
      </c>
      <c r="D8" s="22" t="s">
        <v>884</v>
      </c>
      <c r="E8" s="22" t="s">
        <v>884</v>
      </c>
      <c r="F8" s="22" t="s">
        <v>20</v>
      </c>
      <c r="G8" s="23" t="n">
        <v>1</v>
      </c>
      <c r="H8" s="24" t="n">
        <v>1</v>
      </c>
      <c r="I8" s="24" t="n">
        <v>1600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0" t="n">
        <v>44694.737175926</v>
      </c>
      <c r="B9" s="2" t="s">
        <v>762</v>
      </c>
      <c r="C9" s="2" t="s">
        <v>887</v>
      </c>
      <c r="D9" s="2" t="s">
        <v>757</v>
      </c>
      <c r="E9" s="2" t="s">
        <v>96</v>
      </c>
      <c r="F9" s="2" t="s">
        <v>20</v>
      </c>
      <c r="G9" s="7" t="n">
        <v>1</v>
      </c>
      <c r="H9" s="6" t="n">
        <v>96.130666666667</v>
      </c>
      <c r="I9" s="6" t="n">
        <v>-720.98</v>
      </c>
      <c r="J9" s="6" t="n">
        <v>-14.49</v>
      </c>
      <c r="K9" s="6" t="n">
        <v>-2.16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44694.749768519</v>
      </c>
      <c r="B10" s="2" t="s">
        <v>320</v>
      </c>
      <c r="C10" s="2" t="s">
        <v>888</v>
      </c>
      <c r="D10" s="2" t="s">
        <v>757</v>
      </c>
      <c r="E10" s="2" t="s">
        <v>96</v>
      </c>
      <c r="F10" s="2" t="s">
        <v>20</v>
      </c>
      <c r="G10" s="7" t="n">
        <v>1</v>
      </c>
      <c r="H10" s="6" t="n">
        <v>103.5</v>
      </c>
      <c r="I10" s="6" t="n">
        <v>-828</v>
      </c>
      <c r="J10" s="6" t="n">
        <v>-11.97</v>
      </c>
      <c r="K10" s="6" t="n">
        <v>-2.48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44699.425381944</v>
      </c>
      <c r="B11" s="22" t="s">
        <v>884</v>
      </c>
      <c r="C11" s="22" t="s">
        <v>336</v>
      </c>
      <c r="D11" s="22" t="s">
        <v>884</v>
      </c>
      <c r="E11" s="22" t="s">
        <v>884</v>
      </c>
      <c r="F11" s="22" t="s">
        <v>20</v>
      </c>
      <c r="G11" s="23" t="n">
        <v>1</v>
      </c>
      <c r="H11" s="24" t="n">
        <v>1</v>
      </c>
      <c r="I11" s="24" t="n">
        <v>1000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44699.478009259</v>
      </c>
      <c r="B12" s="2" t="s">
        <v>117</v>
      </c>
      <c r="C12" s="2" t="s">
        <v>889</v>
      </c>
      <c r="D12" s="2" t="s">
        <v>757</v>
      </c>
      <c r="E12" s="2" t="s">
        <v>96</v>
      </c>
      <c r="F12" s="2" t="s">
        <v>20</v>
      </c>
      <c r="G12" s="7" t="n">
        <v>1</v>
      </c>
      <c r="H12" s="6" t="n">
        <v>75.818</v>
      </c>
      <c r="I12" s="6" t="n">
        <v>-758.18</v>
      </c>
      <c r="J12" s="6" t="n">
        <v>-9.21</v>
      </c>
      <c r="K12" s="6" t="n">
        <v>-2.27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44699.609849537</v>
      </c>
      <c r="B13" s="2" t="s">
        <v>86</v>
      </c>
      <c r="C13" s="2" t="s">
        <v>890</v>
      </c>
      <c r="D13" s="2" t="s">
        <v>757</v>
      </c>
      <c r="E13" s="2" t="s">
        <v>18</v>
      </c>
      <c r="F13" s="2" t="s">
        <v>20</v>
      </c>
      <c r="G13" s="7" t="n">
        <v>10</v>
      </c>
      <c r="H13" s="6" t="n">
        <v>45.32</v>
      </c>
      <c r="I13" s="6" t="n">
        <v>-453.2</v>
      </c>
      <c r="J13" s="6" t="n">
        <v>0</v>
      </c>
      <c r="K13" s="6" t="n">
        <v>-1.36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1" t="n">
        <v>44706.506296296</v>
      </c>
      <c r="B14" s="22" t="s">
        <v>884</v>
      </c>
      <c r="C14" s="22" t="s">
        <v>336</v>
      </c>
      <c r="D14" s="22" t="s">
        <v>884</v>
      </c>
      <c r="E14" s="22" t="s">
        <v>884</v>
      </c>
      <c r="F14" s="22" t="s">
        <v>20</v>
      </c>
      <c r="G14" s="23" t="n">
        <v>1</v>
      </c>
      <c r="H14" s="24" t="n">
        <v>1</v>
      </c>
      <c r="I14" s="24" t="n">
        <v>43.77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4"/>
      <c r="O14" s="22"/>
    </row>
    <row collapsed="false" customFormat="false" customHeight="false" hidden="false" ht="12.1" outlineLevel="0" r="15">
      <c r="A15" s="21" t="n">
        <v>44707.818576389</v>
      </c>
      <c r="B15" s="22" t="s">
        <v>891</v>
      </c>
      <c r="C15" s="22" t="s">
        <v>892</v>
      </c>
      <c r="D15" s="22" t="s">
        <v>891</v>
      </c>
      <c r="E15" s="22" t="s">
        <v>891</v>
      </c>
      <c r="F15" s="22" t="s">
        <v>20</v>
      </c>
      <c r="G15" s="23" t="n">
        <v>1</v>
      </c>
      <c r="H15" s="24" t="n">
        <v>1</v>
      </c>
      <c r="I15" s="24" t="n">
        <v>16.08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4"/>
      <c r="O15" s="22"/>
    </row>
    <row collapsed="false" customFormat="false" customHeight="false" hidden="false" ht="12.1" outlineLevel="0" r="16">
      <c r="A16" s="21" t="n">
        <v>44708.634189815</v>
      </c>
      <c r="B16" s="22" t="s">
        <v>884</v>
      </c>
      <c r="C16" s="22" t="s">
        <v>336</v>
      </c>
      <c r="D16" s="22" t="s">
        <v>884</v>
      </c>
      <c r="E16" s="22" t="s">
        <v>884</v>
      </c>
      <c r="F16" s="22" t="s">
        <v>20</v>
      </c>
      <c r="G16" s="23" t="n">
        <v>1</v>
      </c>
      <c r="H16" s="24" t="n">
        <v>1</v>
      </c>
      <c r="I16" s="24" t="n">
        <v>3000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0" t="n">
        <v>44708.635358796</v>
      </c>
      <c r="B17" s="2" t="s">
        <v>95</v>
      </c>
      <c r="C17" s="2" t="s">
        <v>893</v>
      </c>
      <c r="D17" s="2" t="s">
        <v>757</v>
      </c>
      <c r="E17" s="2" t="s">
        <v>96</v>
      </c>
      <c r="F17" s="2" t="s">
        <v>20</v>
      </c>
      <c r="G17" s="7" t="n">
        <v>1</v>
      </c>
      <c r="H17" s="6" t="n">
        <v>76.499</v>
      </c>
      <c r="I17" s="6" t="n">
        <v>-764.99</v>
      </c>
      <c r="J17" s="6" t="n">
        <v>-19.56</v>
      </c>
      <c r="K17" s="6" t="n">
        <v>-2.29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44708.636168981</v>
      </c>
      <c r="B18" s="2" t="s">
        <v>135</v>
      </c>
      <c r="C18" s="2" t="s">
        <v>894</v>
      </c>
      <c r="D18" s="2" t="s">
        <v>757</v>
      </c>
      <c r="E18" s="2" t="s">
        <v>96</v>
      </c>
      <c r="F18" s="2" t="s">
        <v>20</v>
      </c>
      <c r="G18" s="7" t="n">
        <v>1</v>
      </c>
      <c r="H18" s="6" t="n">
        <v>85.45</v>
      </c>
      <c r="I18" s="6" t="n">
        <v>-854.5</v>
      </c>
      <c r="J18" s="6" t="n">
        <v>-0.99000000000001</v>
      </c>
      <c r="K18" s="6" t="n">
        <v>-2.56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44708.63662037</v>
      </c>
      <c r="B19" s="2" t="s">
        <v>105</v>
      </c>
      <c r="C19" s="2" t="s">
        <v>895</v>
      </c>
      <c r="D19" s="2" t="s">
        <v>757</v>
      </c>
      <c r="E19" s="2" t="s">
        <v>96</v>
      </c>
      <c r="F19" s="2" t="s">
        <v>20</v>
      </c>
      <c r="G19" s="7" t="n">
        <v>1</v>
      </c>
      <c r="H19" s="6" t="n">
        <v>105.695</v>
      </c>
      <c r="I19" s="6" t="n">
        <v>-1056.95</v>
      </c>
      <c r="J19" s="6" t="n">
        <v>-4.53</v>
      </c>
      <c r="K19" s="6" t="n">
        <v>-3.17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44708.71693287</v>
      </c>
      <c r="B20" s="22" t="s">
        <v>884</v>
      </c>
      <c r="C20" s="22" t="s">
        <v>336</v>
      </c>
      <c r="D20" s="22" t="s">
        <v>884</v>
      </c>
      <c r="E20" s="22" t="s">
        <v>884</v>
      </c>
      <c r="F20" s="22" t="s">
        <v>20</v>
      </c>
      <c r="G20" s="23" t="n">
        <v>1</v>
      </c>
      <c r="H20" s="24" t="n">
        <v>1</v>
      </c>
      <c r="I20" s="24" t="n">
        <v>100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0" t="n">
        <v>44708.71724537</v>
      </c>
      <c r="B21" s="2" t="s">
        <v>763</v>
      </c>
      <c r="C21" s="2" t="s">
        <v>896</v>
      </c>
      <c r="D21" s="2" t="s">
        <v>757</v>
      </c>
      <c r="E21" s="2" t="s">
        <v>18</v>
      </c>
      <c r="F21" s="2" t="s">
        <v>20</v>
      </c>
      <c r="G21" s="7" t="n">
        <v>1</v>
      </c>
      <c r="H21" s="6" t="n">
        <v>395.5</v>
      </c>
      <c r="I21" s="6" t="n">
        <v>-395.5</v>
      </c>
      <c r="J21" s="6" t="n">
        <v>0</v>
      </c>
      <c r="K21" s="6" t="n">
        <v>-1.19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44739.58806713</v>
      </c>
      <c r="B22" s="22" t="s">
        <v>884</v>
      </c>
      <c r="C22" s="22" t="s">
        <v>336</v>
      </c>
      <c r="D22" s="22" t="s">
        <v>884</v>
      </c>
      <c r="E22" s="22" t="s">
        <v>884</v>
      </c>
      <c r="F22" s="22" t="s">
        <v>20</v>
      </c>
      <c r="G22" s="23" t="n">
        <v>1</v>
      </c>
      <c r="H22" s="24" t="n">
        <v>1</v>
      </c>
      <c r="I22" s="24" t="n">
        <v>1000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4"/>
      <c r="O22" s="22"/>
    </row>
    <row collapsed="false" customFormat="false" customHeight="false" hidden="false" ht="12.1" outlineLevel="0" r="23">
      <c r="A23" s="21" t="n">
        <v>44739.601701389</v>
      </c>
      <c r="B23" s="22" t="s">
        <v>884</v>
      </c>
      <c r="C23" s="22" t="s">
        <v>336</v>
      </c>
      <c r="D23" s="22" t="s">
        <v>884</v>
      </c>
      <c r="E23" s="22" t="s">
        <v>884</v>
      </c>
      <c r="F23" s="22" t="s">
        <v>20</v>
      </c>
      <c r="G23" s="23" t="n">
        <v>1</v>
      </c>
      <c r="H23" s="24" t="n">
        <v>1</v>
      </c>
      <c r="I23" s="24" t="n">
        <v>100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0" t="n">
        <v>44739.602569444</v>
      </c>
      <c r="B24" s="2" t="s">
        <v>99</v>
      </c>
      <c r="C24" s="2" t="s">
        <v>897</v>
      </c>
      <c r="D24" s="2" t="s">
        <v>757</v>
      </c>
      <c r="E24" s="2" t="s">
        <v>96</v>
      </c>
      <c r="F24" s="2" t="s">
        <v>20</v>
      </c>
      <c r="G24" s="7" t="n">
        <v>1</v>
      </c>
      <c r="H24" s="6" t="n">
        <v>110.2</v>
      </c>
      <c r="I24" s="6" t="n">
        <v>-1102</v>
      </c>
      <c r="J24" s="6" t="n">
        <v>-2.4000000000001</v>
      </c>
      <c r="K24" s="6" t="n">
        <v>-3.31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44742.446469907</v>
      </c>
      <c r="B25" s="22" t="s">
        <v>884</v>
      </c>
      <c r="C25" s="22" t="s">
        <v>336</v>
      </c>
      <c r="D25" s="22" t="s">
        <v>884</v>
      </c>
      <c r="E25" s="22" t="s">
        <v>884</v>
      </c>
      <c r="F25" s="22" t="s">
        <v>20</v>
      </c>
      <c r="G25" s="23" t="n">
        <v>1</v>
      </c>
      <c r="H25" s="24" t="n">
        <v>1</v>
      </c>
      <c r="I25" s="24" t="n">
        <v>1100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44742.446770833</v>
      </c>
      <c r="B26" s="2" t="s">
        <v>84</v>
      </c>
      <c r="C26" s="2" t="s">
        <v>898</v>
      </c>
      <c r="D26" s="2" t="s">
        <v>757</v>
      </c>
      <c r="E26" s="2" t="s">
        <v>18</v>
      </c>
      <c r="F26" s="2" t="s">
        <v>20</v>
      </c>
      <c r="G26" s="7" t="n">
        <v>1</v>
      </c>
      <c r="H26" s="6" t="n">
        <v>1028</v>
      </c>
      <c r="I26" s="6" t="n">
        <v>-1028</v>
      </c>
      <c r="J26" s="6" t="n">
        <v>0</v>
      </c>
      <c r="K26" s="6" t="n">
        <v>-3.08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44746.468020833</v>
      </c>
      <c r="B27" s="22" t="s">
        <v>884</v>
      </c>
      <c r="C27" s="22" t="s">
        <v>336</v>
      </c>
      <c r="D27" s="22" t="s">
        <v>884</v>
      </c>
      <c r="E27" s="22" t="s">
        <v>884</v>
      </c>
      <c r="F27" s="22" t="s">
        <v>20</v>
      </c>
      <c r="G27" s="23" t="n">
        <v>1</v>
      </c>
      <c r="H27" s="24" t="n">
        <v>1</v>
      </c>
      <c r="I27" s="24" t="n">
        <v>1000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44746.472777778</v>
      </c>
      <c r="B28" s="2" t="s">
        <v>763</v>
      </c>
      <c r="C28" s="2" t="s">
        <v>896</v>
      </c>
      <c r="D28" s="2" t="s">
        <v>757</v>
      </c>
      <c r="E28" s="2" t="s">
        <v>18</v>
      </c>
      <c r="F28" s="2" t="s">
        <v>20</v>
      </c>
      <c r="G28" s="7" t="n">
        <v>1</v>
      </c>
      <c r="H28" s="6" t="n">
        <v>313.5</v>
      </c>
      <c r="I28" s="6" t="n">
        <v>-313.5</v>
      </c>
      <c r="J28" s="6" t="n">
        <v>0</v>
      </c>
      <c r="K28" s="6" t="n">
        <v>-0.94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44746.473402778</v>
      </c>
      <c r="B29" s="2" t="s">
        <v>86</v>
      </c>
      <c r="C29" s="2" t="s">
        <v>890</v>
      </c>
      <c r="D29" s="2" t="s">
        <v>757</v>
      </c>
      <c r="E29" s="2" t="s">
        <v>18</v>
      </c>
      <c r="F29" s="2" t="s">
        <v>20</v>
      </c>
      <c r="G29" s="7" t="n">
        <v>10</v>
      </c>
      <c r="H29" s="6" t="n">
        <v>32.035</v>
      </c>
      <c r="I29" s="6" t="n">
        <v>-320.35</v>
      </c>
      <c r="J29" s="6" t="n">
        <v>0</v>
      </c>
      <c r="K29" s="6" t="n">
        <v>-0.96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44746.473969907</v>
      </c>
      <c r="B30" s="22" t="s">
        <v>884</v>
      </c>
      <c r="C30" s="22" t="s">
        <v>336</v>
      </c>
      <c r="D30" s="22" t="s">
        <v>884</v>
      </c>
      <c r="E30" s="22" t="s">
        <v>884</v>
      </c>
      <c r="F30" s="22" t="s">
        <v>20</v>
      </c>
      <c r="G30" s="23" t="n">
        <v>1</v>
      </c>
      <c r="H30" s="24" t="n">
        <v>1</v>
      </c>
      <c r="I30" s="24" t="n">
        <v>800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44746.499444444</v>
      </c>
      <c r="B31" s="2" t="s">
        <v>99</v>
      </c>
      <c r="C31" s="2" t="s">
        <v>897</v>
      </c>
      <c r="D31" s="2" t="s">
        <v>757</v>
      </c>
      <c r="E31" s="2" t="s">
        <v>96</v>
      </c>
      <c r="F31" s="2" t="s">
        <v>20</v>
      </c>
      <c r="G31" s="7" t="n">
        <v>1</v>
      </c>
      <c r="H31" s="6" t="n">
        <v>110.25</v>
      </c>
      <c r="I31" s="6" t="n">
        <v>-1102.5</v>
      </c>
      <c r="J31" s="6" t="n">
        <v>-5.21</v>
      </c>
      <c r="K31" s="6" t="n">
        <v>-3.31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44748.449386574</v>
      </c>
      <c r="B32" s="22" t="s">
        <v>884</v>
      </c>
      <c r="C32" s="22" t="s">
        <v>336</v>
      </c>
      <c r="D32" s="22" t="s">
        <v>884</v>
      </c>
      <c r="E32" s="22" t="s">
        <v>884</v>
      </c>
      <c r="F32" s="22" t="s">
        <v>20</v>
      </c>
      <c r="G32" s="23" t="n">
        <v>1</v>
      </c>
      <c r="H32" s="24" t="n">
        <v>1</v>
      </c>
      <c r="I32" s="24" t="n">
        <v>100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44748.452789352</v>
      </c>
      <c r="B33" s="2" t="s">
        <v>49</v>
      </c>
      <c r="C33" s="2" t="s">
        <v>899</v>
      </c>
      <c r="D33" s="2" t="s">
        <v>757</v>
      </c>
      <c r="E33" s="2" t="s">
        <v>18</v>
      </c>
      <c r="F33" s="2" t="s">
        <v>20</v>
      </c>
      <c r="G33" s="7" t="n">
        <v>10000</v>
      </c>
      <c r="H33" s="6" t="n">
        <v>0.018925</v>
      </c>
      <c r="I33" s="6" t="n">
        <v>-189.25</v>
      </c>
      <c r="J33" s="6" t="n">
        <v>0</v>
      </c>
      <c r="K33" s="6" t="n">
        <v>-0.57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44750.521018519</v>
      </c>
      <c r="B34" s="22" t="s">
        <v>891</v>
      </c>
      <c r="C34" s="22" t="s">
        <v>900</v>
      </c>
      <c r="D34" s="22" t="s">
        <v>891</v>
      </c>
      <c r="E34" s="22" t="s">
        <v>891</v>
      </c>
      <c r="F34" s="22" t="s">
        <v>20</v>
      </c>
      <c r="G34" s="23" t="n">
        <v>1</v>
      </c>
      <c r="H34" s="24" t="n">
        <v>1</v>
      </c>
      <c r="I34" s="24" t="n">
        <v>27.92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1" t="n">
        <v>44750.523553241</v>
      </c>
      <c r="B35" s="22" t="s">
        <v>901</v>
      </c>
      <c r="C35" s="22" t="s">
        <v>902</v>
      </c>
      <c r="D35" s="22" t="s">
        <v>901</v>
      </c>
      <c r="E35" s="22" t="s">
        <v>901</v>
      </c>
      <c r="F35" s="22" t="s">
        <v>20</v>
      </c>
      <c r="G35" s="23" t="n">
        <v>1</v>
      </c>
      <c r="H35" s="24" t="n">
        <v>1</v>
      </c>
      <c r="I35" s="24" t="n">
        <v>200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44750.553599537</v>
      </c>
      <c r="B36" s="2" t="s">
        <v>764</v>
      </c>
      <c r="C36" s="2" t="s">
        <v>903</v>
      </c>
      <c r="D36" s="2" t="s">
        <v>757</v>
      </c>
      <c r="E36" s="2" t="s">
        <v>18</v>
      </c>
      <c r="F36" s="2" t="s">
        <v>20</v>
      </c>
      <c r="G36" s="7" t="n">
        <v>1</v>
      </c>
      <c r="H36" s="6" t="n">
        <v>312.4</v>
      </c>
      <c r="I36" s="6" t="n">
        <v>-312.4</v>
      </c>
      <c r="J36" s="6" t="n">
        <v>0</v>
      </c>
      <c r="K36" s="6" t="n">
        <v>-0.94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44761.4940625</v>
      </c>
      <c r="B37" s="22" t="s">
        <v>884</v>
      </c>
      <c r="C37" s="22" t="s">
        <v>336</v>
      </c>
      <c r="D37" s="22" t="s">
        <v>884</v>
      </c>
      <c r="E37" s="22" t="s">
        <v>884</v>
      </c>
      <c r="F37" s="22" t="s">
        <v>20</v>
      </c>
      <c r="G37" s="23" t="n">
        <v>1</v>
      </c>
      <c r="H37" s="24" t="n">
        <v>1</v>
      </c>
      <c r="I37" s="24" t="n">
        <v>700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1" t="n">
        <v>44761.494351852</v>
      </c>
      <c r="B38" s="22" t="s">
        <v>884</v>
      </c>
      <c r="C38" s="22" t="s">
        <v>336</v>
      </c>
      <c r="D38" s="22" t="s">
        <v>884</v>
      </c>
      <c r="E38" s="22" t="s">
        <v>884</v>
      </c>
      <c r="F38" s="22" t="s">
        <v>20</v>
      </c>
      <c r="G38" s="23" t="n">
        <v>1</v>
      </c>
      <c r="H38" s="24" t="n">
        <v>1</v>
      </c>
      <c r="I38" s="24" t="n">
        <v>50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44761.494479167</v>
      </c>
      <c r="B39" s="22" t="s">
        <v>884</v>
      </c>
      <c r="C39" s="22" t="s">
        <v>336</v>
      </c>
      <c r="D39" s="22" t="s">
        <v>884</v>
      </c>
      <c r="E39" s="22" t="s">
        <v>884</v>
      </c>
      <c r="F39" s="22" t="s">
        <v>20</v>
      </c>
      <c r="G39" s="23" t="n">
        <v>1</v>
      </c>
      <c r="H39" s="24" t="n">
        <v>1</v>
      </c>
      <c r="I39" s="24" t="n">
        <v>50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44761.494826389</v>
      </c>
      <c r="B40" s="2" t="s">
        <v>37</v>
      </c>
      <c r="C40" s="2" t="s">
        <v>904</v>
      </c>
      <c r="D40" s="2" t="s">
        <v>757</v>
      </c>
      <c r="E40" s="2" t="s">
        <v>18</v>
      </c>
      <c r="F40" s="2" t="s">
        <v>20</v>
      </c>
      <c r="G40" s="7" t="n">
        <v>1</v>
      </c>
      <c r="H40" s="6" t="n">
        <v>751.5</v>
      </c>
      <c r="I40" s="6" t="n">
        <v>-751.5</v>
      </c>
      <c r="J40" s="6" t="n">
        <v>0</v>
      </c>
      <c r="K40" s="6" t="n">
        <v>-2.25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44769.423657407</v>
      </c>
      <c r="B41" s="22" t="s">
        <v>884</v>
      </c>
      <c r="C41" s="22" t="s">
        <v>336</v>
      </c>
      <c r="D41" s="22" t="s">
        <v>884</v>
      </c>
      <c r="E41" s="22" t="s">
        <v>884</v>
      </c>
      <c r="F41" s="22" t="s">
        <v>20</v>
      </c>
      <c r="G41" s="23" t="n">
        <v>1</v>
      </c>
      <c r="H41" s="24" t="n">
        <v>1</v>
      </c>
      <c r="I41" s="24" t="n">
        <v>2700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44769.436793981</v>
      </c>
      <c r="B42" s="2" t="s">
        <v>46</v>
      </c>
      <c r="C42" s="2" t="s">
        <v>905</v>
      </c>
      <c r="D42" s="2" t="s">
        <v>757</v>
      </c>
      <c r="E42" s="2" t="s">
        <v>18</v>
      </c>
      <c r="F42" s="2" t="s">
        <v>20</v>
      </c>
      <c r="G42" s="7" t="n">
        <v>100</v>
      </c>
      <c r="H42" s="6" t="n">
        <v>3.306</v>
      </c>
      <c r="I42" s="6" t="n">
        <v>-330.6</v>
      </c>
      <c r="J42" s="6" t="n">
        <v>0</v>
      </c>
      <c r="K42" s="6" t="n">
        <v>-0.99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44769.441979167</v>
      </c>
      <c r="B43" s="2" t="s">
        <v>31</v>
      </c>
      <c r="C43" s="2" t="s">
        <v>906</v>
      </c>
      <c r="D43" s="2" t="s">
        <v>757</v>
      </c>
      <c r="E43" s="2" t="s">
        <v>18</v>
      </c>
      <c r="F43" s="2" t="s">
        <v>20</v>
      </c>
      <c r="G43" s="7" t="n">
        <v>10</v>
      </c>
      <c r="H43" s="6" t="n">
        <v>197.06</v>
      </c>
      <c r="I43" s="6" t="n">
        <v>-1970.6</v>
      </c>
      <c r="J43" s="6" t="n">
        <v>0</v>
      </c>
      <c r="K43" s="6" t="n">
        <v>-5.91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44769.445451389</v>
      </c>
      <c r="B44" s="2" t="s">
        <v>34</v>
      </c>
      <c r="C44" s="2" t="s">
        <v>907</v>
      </c>
      <c r="D44" s="2" t="s">
        <v>757</v>
      </c>
      <c r="E44" s="2" t="s">
        <v>18</v>
      </c>
      <c r="F44" s="2" t="s">
        <v>20</v>
      </c>
      <c r="G44" s="7" t="n">
        <v>1</v>
      </c>
      <c r="H44" s="6" t="n">
        <v>393.3</v>
      </c>
      <c r="I44" s="6" t="n">
        <v>-393.3</v>
      </c>
      <c r="J44" s="6" t="n">
        <v>0</v>
      </c>
      <c r="K44" s="6" t="n">
        <v>-1.18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1" t="n">
        <v>44774.505381944</v>
      </c>
      <c r="B45" s="22" t="s">
        <v>891</v>
      </c>
      <c r="C45" s="22" t="s">
        <v>908</v>
      </c>
      <c r="D45" s="22" t="s">
        <v>891</v>
      </c>
      <c r="E45" s="22" t="s">
        <v>891</v>
      </c>
      <c r="F45" s="22" t="s">
        <v>20</v>
      </c>
      <c r="G45" s="23" t="n">
        <v>1</v>
      </c>
      <c r="H45" s="24" t="n">
        <v>1</v>
      </c>
      <c r="I45" s="24" t="n">
        <v>29.03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1" t="n">
        <v>44776.530092593</v>
      </c>
      <c r="B46" s="22" t="s">
        <v>884</v>
      </c>
      <c r="C46" s="22" t="s">
        <v>336</v>
      </c>
      <c r="D46" s="22" t="s">
        <v>884</v>
      </c>
      <c r="E46" s="22" t="s">
        <v>884</v>
      </c>
      <c r="F46" s="22" t="s">
        <v>20</v>
      </c>
      <c r="G46" s="23" t="n">
        <v>1</v>
      </c>
      <c r="H46" s="24" t="n">
        <v>1</v>
      </c>
      <c r="I46" s="24" t="n">
        <v>200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44776.530335648</v>
      </c>
      <c r="B47" s="2" t="s">
        <v>86</v>
      </c>
      <c r="C47" s="2" t="s">
        <v>890</v>
      </c>
      <c r="D47" s="2" t="s">
        <v>757</v>
      </c>
      <c r="E47" s="2" t="s">
        <v>18</v>
      </c>
      <c r="F47" s="2" t="s">
        <v>20</v>
      </c>
      <c r="G47" s="7" t="n">
        <v>10</v>
      </c>
      <c r="H47" s="6" t="n">
        <v>24.27</v>
      </c>
      <c r="I47" s="6" t="n">
        <v>-242.7</v>
      </c>
      <c r="J47" s="6" t="n">
        <v>0</v>
      </c>
      <c r="K47" s="6" t="n">
        <v>-0.73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44778.369178241</v>
      </c>
      <c r="B48" s="22" t="s">
        <v>891</v>
      </c>
      <c r="C48" s="22" t="s">
        <v>909</v>
      </c>
      <c r="D48" s="22" t="s">
        <v>891</v>
      </c>
      <c r="E48" s="22" t="s">
        <v>891</v>
      </c>
      <c r="F48" s="22" t="s">
        <v>20</v>
      </c>
      <c r="G48" s="23" t="n">
        <v>1</v>
      </c>
      <c r="H48" s="24" t="n">
        <v>1</v>
      </c>
      <c r="I48" s="24" t="n">
        <v>30.42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44784.358252315</v>
      </c>
      <c r="B49" s="22" t="s">
        <v>884</v>
      </c>
      <c r="C49" s="22" t="s">
        <v>336</v>
      </c>
      <c r="D49" s="22" t="s">
        <v>884</v>
      </c>
      <c r="E49" s="22" t="s">
        <v>884</v>
      </c>
      <c r="F49" s="22" t="s">
        <v>20</v>
      </c>
      <c r="G49" s="23" t="n">
        <v>1</v>
      </c>
      <c r="H49" s="24" t="n">
        <v>1</v>
      </c>
      <c r="I49" s="24" t="n">
        <v>3500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0" t="n">
        <v>44784.418425926</v>
      </c>
      <c r="B50" s="2" t="s">
        <v>910</v>
      </c>
      <c r="C50" s="2" t="s">
        <v>911</v>
      </c>
      <c r="D50" s="2" t="s">
        <v>757</v>
      </c>
      <c r="E50" s="2" t="s">
        <v>912</v>
      </c>
      <c r="F50" s="2" t="s">
        <v>20</v>
      </c>
      <c r="G50" s="7" t="n">
        <v>1</v>
      </c>
      <c r="H50" s="6" t="n">
        <v>3451.97</v>
      </c>
      <c r="I50" s="6" t="n">
        <v>-3451.97</v>
      </c>
      <c r="J50" s="6" t="n">
        <v>0</v>
      </c>
      <c r="K50" s="6" t="n">
        <v>-65.59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44798.64650463</v>
      </c>
      <c r="B51" s="22" t="s">
        <v>891</v>
      </c>
      <c r="C51" s="22" t="s">
        <v>892</v>
      </c>
      <c r="D51" s="22" t="s">
        <v>891</v>
      </c>
      <c r="E51" s="22" t="s">
        <v>891</v>
      </c>
      <c r="F51" s="22" t="s">
        <v>20</v>
      </c>
      <c r="G51" s="23" t="n">
        <v>1</v>
      </c>
      <c r="H51" s="24" t="n">
        <v>1</v>
      </c>
      <c r="I51" s="24" t="n">
        <v>16.08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44810.494699074</v>
      </c>
      <c r="B52" s="22" t="s">
        <v>884</v>
      </c>
      <c r="C52" s="22" t="s">
        <v>336</v>
      </c>
      <c r="D52" s="22" t="s">
        <v>884</v>
      </c>
      <c r="E52" s="22" t="s">
        <v>884</v>
      </c>
      <c r="F52" s="22" t="s">
        <v>20</v>
      </c>
      <c r="G52" s="23" t="n">
        <v>1</v>
      </c>
      <c r="H52" s="24" t="n">
        <v>1</v>
      </c>
      <c r="I52" s="24" t="n">
        <v>107.63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44826.585439815</v>
      </c>
      <c r="B53" s="22" t="s">
        <v>891</v>
      </c>
      <c r="C53" s="22" t="s">
        <v>913</v>
      </c>
      <c r="D53" s="22" t="s">
        <v>891</v>
      </c>
      <c r="E53" s="22" t="s">
        <v>891</v>
      </c>
      <c r="F53" s="22" t="s">
        <v>20</v>
      </c>
      <c r="G53" s="23" t="n">
        <v>1</v>
      </c>
      <c r="H53" s="24" t="n">
        <v>1</v>
      </c>
      <c r="I53" s="24" t="n">
        <v>29.42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44841.550775463</v>
      </c>
      <c r="B54" s="22" t="s">
        <v>891</v>
      </c>
      <c r="C54" s="22" t="s">
        <v>900</v>
      </c>
      <c r="D54" s="22" t="s">
        <v>891</v>
      </c>
      <c r="E54" s="22" t="s">
        <v>891</v>
      </c>
      <c r="F54" s="22" t="s">
        <v>20</v>
      </c>
      <c r="G54" s="23" t="n">
        <v>1</v>
      </c>
      <c r="H54" s="24" t="n">
        <v>1</v>
      </c>
      <c r="I54" s="24" t="n">
        <v>20.94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44858.431550926</v>
      </c>
      <c r="B55" s="22" t="s">
        <v>884</v>
      </c>
      <c r="C55" s="22" t="s">
        <v>336</v>
      </c>
      <c r="D55" s="22" t="s">
        <v>884</v>
      </c>
      <c r="E55" s="22" t="s">
        <v>884</v>
      </c>
      <c r="F55" s="22" t="s">
        <v>20</v>
      </c>
      <c r="G55" s="23" t="n">
        <v>1</v>
      </c>
      <c r="H55" s="24" t="n">
        <v>1</v>
      </c>
      <c r="I55" s="24" t="n">
        <v>1700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0" t="n">
        <v>44858.43556713</v>
      </c>
      <c r="B56" s="2" t="s">
        <v>88</v>
      </c>
      <c r="C56" s="2" t="s">
        <v>914</v>
      </c>
      <c r="D56" s="2" t="s">
        <v>757</v>
      </c>
      <c r="E56" s="2" t="s">
        <v>18</v>
      </c>
      <c r="F56" s="2" t="s">
        <v>20</v>
      </c>
      <c r="G56" s="7" t="n">
        <v>1000</v>
      </c>
      <c r="H56" s="6" t="n">
        <v>0.7435</v>
      </c>
      <c r="I56" s="6" t="n">
        <v>-743.5</v>
      </c>
      <c r="J56" s="6" t="n">
        <v>0</v>
      </c>
      <c r="K56" s="6" t="n">
        <v>-2.23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44858.436493056</v>
      </c>
      <c r="B57" s="2" t="s">
        <v>68</v>
      </c>
      <c r="C57" s="2" t="s">
        <v>915</v>
      </c>
      <c r="D57" s="2" t="s">
        <v>757</v>
      </c>
      <c r="E57" s="2" t="s">
        <v>18</v>
      </c>
      <c r="F57" s="2" t="s">
        <v>20</v>
      </c>
      <c r="G57" s="7" t="n">
        <v>100</v>
      </c>
      <c r="H57" s="6" t="n">
        <v>6.246</v>
      </c>
      <c r="I57" s="6" t="n">
        <v>-624.6</v>
      </c>
      <c r="J57" s="6" t="n">
        <v>0</v>
      </c>
      <c r="K57" s="6" t="n">
        <v>-1.87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44859.648414352</v>
      </c>
      <c r="B58" s="22" t="s">
        <v>891</v>
      </c>
      <c r="C58" s="22" t="s">
        <v>916</v>
      </c>
      <c r="D58" s="22" t="s">
        <v>891</v>
      </c>
      <c r="E58" s="22" t="s">
        <v>891</v>
      </c>
      <c r="F58" s="22" t="s">
        <v>20</v>
      </c>
      <c r="G58" s="23" t="n">
        <v>1</v>
      </c>
      <c r="H58" s="24" t="n">
        <v>1</v>
      </c>
      <c r="I58" s="24" t="n">
        <v>45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5" t="n">
        <v>44859.648414352</v>
      </c>
      <c r="B59" s="26" t="s">
        <v>917</v>
      </c>
      <c r="C59" s="26" t="s">
        <v>918</v>
      </c>
      <c r="D59" s="26" t="s">
        <v>917</v>
      </c>
      <c r="E59" s="26" t="s">
        <v>917</v>
      </c>
      <c r="F59" s="26" t="s">
        <v>20</v>
      </c>
      <c r="G59" s="27" t="n">
        <v>1</v>
      </c>
      <c r="H59" s="28" t="n">
        <v>-6</v>
      </c>
      <c r="I59" s="28" t="n">
        <v>-6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1" t="n">
        <v>44860.724710648</v>
      </c>
      <c r="B60" s="22" t="s">
        <v>884</v>
      </c>
      <c r="C60" s="22" t="s">
        <v>336</v>
      </c>
      <c r="D60" s="22" t="s">
        <v>884</v>
      </c>
      <c r="E60" s="22" t="s">
        <v>884</v>
      </c>
      <c r="F60" s="22" t="s">
        <v>20</v>
      </c>
      <c r="G60" s="23" t="n">
        <v>1</v>
      </c>
      <c r="H60" s="24" t="n">
        <v>1</v>
      </c>
      <c r="I60" s="24" t="n">
        <v>700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44860.737233796</v>
      </c>
      <c r="B61" s="2" t="s">
        <v>306</v>
      </c>
      <c r="C61" s="2" t="s">
        <v>919</v>
      </c>
      <c r="D61" s="2" t="s">
        <v>757</v>
      </c>
      <c r="E61" s="2" t="s">
        <v>96</v>
      </c>
      <c r="F61" s="2" t="s">
        <v>20</v>
      </c>
      <c r="G61" s="7" t="n">
        <v>1</v>
      </c>
      <c r="H61" s="6" t="n">
        <v>89.96</v>
      </c>
      <c r="I61" s="6" t="n">
        <v>-899.6</v>
      </c>
      <c r="J61" s="6" t="n">
        <v>-10.92</v>
      </c>
      <c r="K61" s="6" t="n">
        <v>-2.7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1" t="n">
        <v>44860.860509259</v>
      </c>
      <c r="B62" s="22" t="s">
        <v>891</v>
      </c>
      <c r="C62" s="22" t="s">
        <v>920</v>
      </c>
      <c r="D62" s="22" t="s">
        <v>891</v>
      </c>
      <c r="E62" s="22" t="s">
        <v>891</v>
      </c>
      <c r="F62" s="22" t="s">
        <v>20</v>
      </c>
      <c r="G62" s="23" t="n">
        <v>1</v>
      </c>
      <c r="H62" s="24" t="n">
        <v>1</v>
      </c>
      <c r="I62" s="24" t="n">
        <v>510.3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4"/>
      <c r="O62" s="22"/>
    </row>
    <row collapsed="false" customFormat="false" customHeight="false" hidden="false" ht="12.1" outlineLevel="0" r="63">
      <c r="A63" s="25" t="n">
        <v>44860.860509259</v>
      </c>
      <c r="B63" s="26" t="s">
        <v>917</v>
      </c>
      <c r="C63" s="26" t="s">
        <v>921</v>
      </c>
      <c r="D63" s="26" t="s">
        <v>917</v>
      </c>
      <c r="E63" s="26" t="s">
        <v>917</v>
      </c>
      <c r="F63" s="26" t="s">
        <v>20</v>
      </c>
      <c r="G63" s="27" t="n">
        <v>1</v>
      </c>
      <c r="H63" s="28" t="n">
        <v>-65</v>
      </c>
      <c r="I63" s="28" t="n">
        <v>-65</v>
      </c>
      <c r="J63" s="28" t="n">
        <v>0</v>
      </c>
      <c r="K63" s="28" t="n">
        <v>0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1" t="n">
        <v>44861.514490741</v>
      </c>
      <c r="B64" s="22" t="s">
        <v>891</v>
      </c>
      <c r="C64" s="22" t="s">
        <v>908</v>
      </c>
      <c r="D64" s="22" t="s">
        <v>891</v>
      </c>
      <c r="E64" s="22" t="s">
        <v>891</v>
      </c>
      <c r="F64" s="22" t="s">
        <v>20</v>
      </c>
      <c r="G64" s="23" t="n">
        <v>1</v>
      </c>
      <c r="H64" s="24" t="n">
        <v>1</v>
      </c>
      <c r="I64" s="24" t="n">
        <v>19.69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4"/>
      <c r="O64" s="22"/>
    </row>
    <row collapsed="false" customFormat="false" customHeight="false" hidden="false" ht="12.1" outlineLevel="0" r="65">
      <c r="A65" s="25" t="n">
        <v>44862.439351852</v>
      </c>
      <c r="B65" s="26" t="s">
        <v>917</v>
      </c>
      <c r="C65" s="26" t="s">
        <v>922</v>
      </c>
      <c r="D65" s="26" t="s">
        <v>917</v>
      </c>
      <c r="E65" s="26" t="s">
        <v>917</v>
      </c>
      <c r="F65" s="26" t="s">
        <v>20</v>
      </c>
      <c r="G65" s="27" t="n">
        <v>1</v>
      </c>
      <c r="H65" s="28" t="n">
        <v>-4</v>
      </c>
      <c r="I65" s="28" t="n">
        <v>-4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44862.439351852</v>
      </c>
      <c r="B66" s="22" t="s">
        <v>891</v>
      </c>
      <c r="C66" s="22" t="s">
        <v>923</v>
      </c>
      <c r="D66" s="22" t="s">
        <v>891</v>
      </c>
      <c r="E66" s="22" t="s">
        <v>891</v>
      </c>
      <c r="F66" s="22" t="s">
        <v>20</v>
      </c>
      <c r="G66" s="23" t="n">
        <v>1</v>
      </c>
      <c r="H66" s="24" t="n">
        <v>1</v>
      </c>
      <c r="I66" s="24" t="n">
        <v>32.71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44862.66224537</v>
      </c>
      <c r="B67" s="22" t="s">
        <v>884</v>
      </c>
      <c r="C67" s="22" t="s">
        <v>336</v>
      </c>
      <c r="D67" s="22" t="s">
        <v>884</v>
      </c>
      <c r="E67" s="22" t="s">
        <v>884</v>
      </c>
      <c r="F67" s="22" t="s">
        <v>20</v>
      </c>
      <c r="G67" s="23" t="n">
        <v>1</v>
      </c>
      <c r="H67" s="24" t="n">
        <v>1</v>
      </c>
      <c r="I67" s="24" t="n">
        <v>500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44862.674525463</v>
      </c>
      <c r="B68" s="2" t="s">
        <v>279</v>
      </c>
      <c r="C68" s="2" t="s">
        <v>924</v>
      </c>
      <c r="D68" s="2" t="s">
        <v>757</v>
      </c>
      <c r="E68" s="2" t="s">
        <v>96</v>
      </c>
      <c r="F68" s="2" t="s">
        <v>20</v>
      </c>
      <c r="G68" s="7" t="n">
        <v>1</v>
      </c>
      <c r="H68" s="6" t="n">
        <v>94.59</v>
      </c>
      <c r="I68" s="6" t="n">
        <v>-945.9</v>
      </c>
      <c r="J68" s="6" t="n">
        <v>-8.87</v>
      </c>
      <c r="K68" s="6" t="n">
        <v>-2.84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44866.537349537</v>
      </c>
      <c r="B69" s="22" t="s">
        <v>884</v>
      </c>
      <c r="C69" s="22" t="s">
        <v>336</v>
      </c>
      <c r="D69" s="22" t="s">
        <v>884</v>
      </c>
      <c r="E69" s="22" t="s">
        <v>884</v>
      </c>
      <c r="F69" s="22" t="s">
        <v>20</v>
      </c>
      <c r="G69" s="23" t="n">
        <v>1</v>
      </c>
      <c r="H69" s="24" t="n">
        <v>1</v>
      </c>
      <c r="I69" s="24" t="n">
        <v>1200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0" t="n">
        <v>44866.544525463</v>
      </c>
      <c r="B70" s="2" t="s">
        <v>276</v>
      </c>
      <c r="C70" s="2" t="s">
        <v>925</v>
      </c>
      <c r="D70" s="2" t="s">
        <v>757</v>
      </c>
      <c r="E70" s="2" t="s">
        <v>96</v>
      </c>
      <c r="F70" s="2" t="s">
        <v>20</v>
      </c>
      <c r="G70" s="7" t="n">
        <v>1</v>
      </c>
      <c r="H70" s="6" t="n">
        <v>100.88</v>
      </c>
      <c r="I70" s="6" t="n">
        <v>-1008.8</v>
      </c>
      <c r="J70" s="6" t="n">
        <v>-16.63</v>
      </c>
      <c r="K70" s="6" t="n">
        <v>-3.03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1" t="n">
        <v>44867.71869213</v>
      </c>
      <c r="B71" s="22" t="s">
        <v>884</v>
      </c>
      <c r="C71" s="22" t="s">
        <v>336</v>
      </c>
      <c r="D71" s="22" t="s">
        <v>884</v>
      </c>
      <c r="E71" s="22" t="s">
        <v>884</v>
      </c>
      <c r="F71" s="22" t="s">
        <v>20</v>
      </c>
      <c r="G71" s="23" t="n">
        <v>1</v>
      </c>
      <c r="H71" s="24" t="n">
        <v>1</v>
      </c>
      <c r="I71" s="24" t="n">
        <v>500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4"/>
      <c r="O71" s="22"/>
    </row>
    <row collapsed="false" customFormat="false" customHeight="false" hidden="false" ht="12.1" outlineLevel="0" r="72">
      <c r="A72" s="20" t="n">
        <v>44867.718981481</v>
      </c>
      <c r="B72" s="2" t="s">
        <v>252</v>
      </c>
      <c r="C72" s="2" t="s">
        <v>926</v>
      </c>
      <c r="D72" s="2" t="s">
        <v>757</v>
      </c>
      <c r="E72" s="2" t="s">
        <v>96</v>
      </c>
      <c r="F72" s="2" t="s">
        <v>20</v>
      </c>
      <c r="G72" s="7" t="n">
        <v>1</v>
      </c>
      <c r="H72" s="6" t="n">
        <v>103.18</v>
      </c>
      <c r="I72" s="6" t="n">
        <v>-1031.8</v>
      </c>
      <c r="J72" s="6" t="n">
        <v>-34.72</v>
      </c>
      <c r="K72" s="6" t="n">
        <v>-3.1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1" t="n">
        <v>44868.734166667</v>
      </c>
      <c r="B73" s="22" t="s">
        <v>884</v>
      </c>
      <c r="C73" s="22" t="s">
        <v>336</v>
      </c>
      <c r="D73" s="22" t="s">
        <v>884</v>
      </c>
      <c r="E73" s="22" t="s">
        <v>884</v>
      </c>
      <c r="F73" s="22" t="s">
        <v>20</v>
      </c>
      <c r="G73" s="23" t="n">
        <v>1</v>
      </c>
      <c r="H73" s="24" t="n">
        <v>1</v>
      </c>
      <c r="I73" s="24" t="n">
        <v>800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4"/>
      <c r="O73" s="22"/>
    </row>
    <row collapsed="false" customFormat="false" customHeight="false" hidden="false" ht="12.1" outlineLevel="0" r="74">
      <c r="A74" s="20" t="n">
        <v>44868.734525463</v>
      </c>
      <c r="B74" s="2" t="s">
        <v>117</v>
      </c>
      <c r="C74" s="2" t="s">
        <v>889</v>
      </c>
      <c r="D74" s="2" t="s">
        <v>757</v>
      </c>
      <c r="E74" s="2" t="s">
        <v>96</v>
      </c>
      <c r="F74" s="2" t="s">
        <v>20</v>
      </c>
      <c r="G74" s="7" t="n">
        <v>1</v>
      </c>
      <c r="H74" s="6" t="n">
        <v>78.008</v>
      </c>
      <c r="I74" s="6" t="n">
        <v>-780.08</v>
      </c>
      <c r="J74" s="6" t="n">
        <v>-7.5999999999999</v>
      </c>
      <c r="K74" s="6" t="n">
        <v>-2.34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1" t="n">
        <v>44868.769328704</v>
      </c>
      <c r="B75" s="22" t="s">
        <v>884</v>
      </c>
      <c r="C75" s="22" t="s">
        <v>336</v>
      </c>
      <c r="D75" s="22" t="s">
        <v>884</v>
      </c>
      <c r="E75" s="22" t="s">
        <v>884</v>
      </c>
      <c r="F75" s="22" t="s">
        <v>20</v>
      </c>
      <c r="G75" s="23" t="n">
        <v>1</v>
      </c>
      <c r="H75" s="24" t="n">
        <v>1</v>
      </c>
      <c r="I75" s="24" t="n">
        <v>3100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0" t="n">
        <v>44868.771030093</v>
      </c>
      <c r="B76" s="2" t="s">
        <v>132</v>
      </c>
      <c r="C76" s="2" t="s">
        <v>927</v>
      </c>
      <c r="D76" s="2" t="s">
        <v>757</v>
      </c>
      <c r="E76" s="2" t="s">
        <v>96</v>
      </c>
      <c r="F76" s="2" t="s">
        <v>20</v>
      </c>
      <c r="G76" s="7" t="n">
        <v>1</v>
      </c>
      <c r="H76" s="6" t="n">
        <v>86.1</v>
      </c>
      <c r="I76" s="6" t="n">
        <v>-861</v>
      </c>
      <c r="J76" s="6" t="n">
        <v>-6.96</v>
      </c>
      <c r="K76" s="6" t="n">
        <v>-2.58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44868.771585648</v>
      </c>
      <c r="B77" s="2" t="s">
        <v>135</v>
      </c>
      <c r="C77" s="2" t="s">
        <v>894</v>
      </c>
      <c r="D77" s="2" t="s">
        <v>757</v>
      </c>
      <c r="E77" s="2" t="s">
        <v>96</v>
      </c>
      <c r="F77" s="2" t="s">
        <v>20</v>
      </c>
      <c r="G77" s="7" t="n">
        <v>1</v>
      </c>
      <c r="H77" s="6" t="n">
        <v>82.1</v>
      </c>
      <c r="I77" s="6" t="n">
        <v>-821</v>
      </c>
      <c r="J77" s="6" t="n">
        <v>-32.97</v>
      </c>
      <c r="K77" s="6" t="n">
        <v>-2.46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44868.77224537</v>
      </c>
      <c r="B78" s="2" t="s">
        <v>111</v>
      </c>
      <c r="C78" s="2" t="s">
        <v>928</v>
      </c>
      <c r="D78" s="2" t="s">
        <v>757</v>
      </c>
      <c r="E78" s="2" t="s">
        <v>96</v>
      </c>
      <c r="F78" s="2" t="s">
        <v>20</v>
      </c>
      <c r="G78" s="7" t="n">
        <v>1</v>
      </c>
      <c r="H78" s="6" t="n">
        <v>82.228</v>
      </c>
      <c r="I78" s="6" t="n">
        <v>-822.28</v>
      </c>
      <c r="J78" s="6" t="n">
        <v>-6.96</v>
      </c>
      <c r="K78" s="6" t="n">
        <v>-2.47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1" t="n">
        <v>44868.773240741</v>
      </c>
      <c r="B79" s="22" t="s">
        <v>884</v>
      </c>
      <c r="C79" s="22" t="s">
        <v>336</v>
      </c>
      <c r="D79" s="22" t="s">
        <v>884</v>
      </c>
      <c r="E79" s="22" t="s">
        <v>884</v>
      </c>
      <c r="F79" s="22" t="s">
        <v>20</v>
      </c>
      <c r="G79" s="23" t="n">
        <v>1</v>
      </c>
      <c r="H79" s="24" t="n">
        <v>1</v>
      </c>
      <c r="I79" s="24" t="n">
        <v>300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44868.773530093</v>
      </c>
      <c r="B80" s="2" t="s">
        <v>95</v>
      </c>
      <c r="C80" s="2" t="s">
        <v>893</v>
      </c>
      <c r="D80" s="2" t="s">
        <v>757</v>
      </c>
      <c r="E80" s="2" t="s">
        <v>96</v>
      </c>
      <c r="F80" s="2" t="s">
        <v>20</v>
      </c>
      <c r="G80" s="7" t="n">
        <v>1</v>
      </c>
      <c r="H80" s="6" t="n">
        <v>72.449</v>
      </c>
      <c r="I80" s="6" t="n">
        <v>-724.49</v>
      </c>
      <c r="J80" s="6" t="n">
        <v>-16.05</v>
      </c>
      <c r="K80" s="6" t="n">
        <v>-2.17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1" t="n">
        <v>44873.505636574</v>
      </c>
      <c r="B81" s="22" t="s">
        <v>891</v>
      </c>
      <c r="C81" s="22" t="s">
        <v>929</v>
      </c>
      <c r="D81" s="22" t="s">
        <v>891</v>
      </c>
      <c r="E81" s="22" t="s">
        <v>891</v>
      </c>
      <c r="F81" s="22" t="s">
        <v>20</v>
      </c>
      <c r="G81" s="23" t="n">
        <v>1</v>
      </c>
      <c r="H81" s="24" t="n">
        <v>1</v>
      </c>
      <c r="I81" s="24" t="n">
        <v>42.38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44883.449039352</v>
      </c>
      <c r="B82" s="22" t="s">
        <v>891</v>
      </c>
      <c r="C82" s="22" t="s">
        <v>930</v>
      </c>
      <c r="D82" s="22" t="s">
        <v>891</v>
      </c>
      <c r="E82" s="22" t="s">
        <v>891</v>
      </c>
      <c r="F82" s="22" t="s">
        <v>20</v>
      </c>
      <c r="G82" s="23" t="n">
        <v>1</v>
      </c>
      <c r="H82" s="24" t="n">
        <v>1</v>
      </c>
      <c r="I82" s="24" t="n">
        <v>68.71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1" t="n">
        <v>44890.403368056</v>
      </c>
      <c r="B83" s="22" t="s">
        <v>891</v>
      </c>
      <c r="C83" s="22" t="s">
        <v>892</v>
      </c>
      <c r="D83" s="22" t="s">
        <v>891</v>
      </c>
      <c r="E83" s="22" t="s">
        <v>891</v>
      </c>
      <c r="F83" s="22" t="s">
        <v>20</v>
      </c>
      <c r="G83" s="23" t="n">
        <v>1</v>
      </c>
      <c r="H83" s="24" t="n">
        <v>1</v>
      </c>
      <c r="I83" s="24" t="n">
        <v>16.08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1" t="n">
        <v>44890.418738426</v>
      </c>
      <c r="B84" s="22" t="s">
        <v>901</v>
      </c>
      <c r="C84" s="22" t="s">
        <v>931</v>
      </c>
      <c r="D84" s="22" t="s">
        <v>901</v>
      </c>
      <c r="E84" s="22" t="s">
        <v>901</v>
      </c>
      <c r="F84" s="22" t="s">
        <v>20</v>
      </c>
      <c r="G84" s="23" t="n">
        <v>1</v>
      </c>
      <c r="H84" s="24" t="n">
        <v>1</v>
      </c>
      <c r="I84" s="24" t="n">
        <v>250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44890.493159722</v>
      </c>
      <c r="B85" s="22" t="s">
        <v>891</v>
      </c>
      <c r="C85" s="22" t="s">
        <v>932</v>
      </c>
      <c r="D85" s="22" t="s">
        <v>891</v>
      </c>
      <c r="E85" s="22" t="s">
        <v>891</v>
      </c>
      <c r="F85" s="22" t="s">
        <v>20</v>
      </c>
      <c r="G85" s="23" t="n">
        <v>1</v>
      </c>
      <c r="H85" s="24" t="n">
        <v>1</v>
      </c>
      <c r="I85" s="24" t="n">
        <v>72.3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1" t="n">
        <v>44900.702731481</v>
      </c>
      <c r="B86" s="22" t="s">
        <v>891</v>
      </c>
      <c r="C86" s="22" t="s">
        <v>933</v>
      </c>
      <c r="D86" s="22" t="s">
        <v>891</v>
      </c>
      <c r="E86" s="22" t="s">
        <v>891</v>
      </c>
      <c r="F86" s="22" t="s">
        <v>20</v>
      </c>
      <c r="G86" s="23" t="n">
        <v>1</v>
      </c>
      <c r="H86" s="24" t="n">
        <v>1</v>
      </c>
      <c r="I86" s="24" t="n">
        <v>24.81</v>
      </c>
      <c r="J86" s="24" t="n">
        <v>0</v>
      </c>
      <c r="K86" s="24" t="n">
        <v>0</v>
      </c>
      <c r="L86" s="24" t="n">
        <v>0</v>
      </c>
      <c r="M86" s="6" t="s">
        <f>=I86+J86+K86+L86</f>
      </c>
      <c r="N86" s="24"/>
      <c r="O86" s="22"/>
    </row>
    <row collapsed="false" customFormat="false" customHeight="false" hidden="false" ht="12.1" outlineLevel="0" r="87">
      <c r="A87" s="21" t="n">
        <v>44903.460451389</v>
      </c>
      <c r="B87" s="22" t="s">
        <v>891</v>
      </c>
      <c r="C87" s="22" t="s">
        <v>934</v>
      </c>
      <c r="D87" s="22" t="s">
        <v>891</v>
      </c>
      <c r="E87" s="22" t="s">
        <v>891</v>
      </c>
      <c r="F87" s="22" t="s">
        <v>20</v>
      </c>
      <c r="G87" s="23" t="n">
        <v>1</v>
      </c>
      <c r="H87" s="24" t="n">
        <v>1</v>
      </c>
      <c r="I87" s="24" t="n">
        <v>19.87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44903.493275463</v>
      </c>
      <c r="B88" s="22" t="s">
        <v>884</v>
      </c>
      <c r="C88" s="22" t="s">
        <v>336</v>
      </c>
      <c r="D88" s="22" t="s">
        <v>884</v>
      </c>
      <c r="E88" s="22" t="s">
        <v>884</v>
      </c>
      <c r="F88" s="22" t="s">
        <v>20</v>
      </c>
      <c r="G88" s="23" t="n">
        <v>1</v>
      </c>
      <c r="H88" s="24" t="n">
        <v>1</v>
      </c>
      <c r="I88" s="24" t="n">
        <v>5600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0" t="n">
        <v>44903.495185185</v>
      </c>
      <c r="B89" s="2" t="s">
        <v>102</v>
      </c>
      <c r="C89" s="2" t="s">
        <v>935</v>
      </c>
      <c r="D89" s="2" t="s">
        <v>757</v>
      </c>
      <c r="E89" s="2" t="s">
        <v>96</v>
      </c>
      <c r="F89" s="2" t="s">
        <v>20</v>
      </c>
      <c r="G89" s="7" t="n">
        <v>1</v>
      </c>
      <c r="H89" s="6" t="n">
        <v>76.357</v>
      </c>
      <c r="I89" s="6" t="n">
        <v>-763.57</v>
      </c>
      <c r="J89" s="6" t="n">
        <v>-0.38999999999999</v>
      </c>
      <c r="K89" s="6" t="n">
        <v>-2.29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44903.497280093</v>
      </c>
      <c r="B90" s="2" t="s">
        <v>141</v>
      </c>
      <c r="C90" s="2" t="s">
        <v>936</v>
      </c>
      <c r="D90" s="2" t="s">
        <v>757</v>
      </c>
      <c r="E90" s="2" t="s">
        <v>96</v>
      </c>
      <c r="F90" s="2" t="s">
        <v>20</v>
      </c>
      <c r="G90" s="7" t="n">
        <v>1</v>
      </c>
      <c r="H90" s="6" t="n">
        <v>103.9</v>
      </c>
      <c r="I90" s="6" t="n">
        <v>-1039</v>
      </c>
      <c r="J90" s="6" t="n">
        <v>-18.59</v>
      </c>
      <c r="K90" s="6" t="n">
        <v>-3.12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44903.497708333</v>
      </c>
      <c r="B91" s="2" t="s">
        <v>225</v>
      </c>
      <c r="C91" s="2" t="s">
        <v>937</v>
      </c>
      <c r="D91" s="2" t="s">
        <v>757</v>
      </c>
      <c r="E91" s="2" t="s">
        <v>96</v>
      </c>
      <c r="F91" s="2" t="s">
        <v>20</v>
      </c>
      <c r="G91" s="7" t="n">
        <v>1</v>
      </c>
      <c r="H91" s="6" t="n">
        <v>103</v>
      </c>
      <c r="I91" s="6" t="n">
        <v>-1030</v>
      </c>
      <c r="J91" s="6" t="n">
        <v>-35.52</v>
      </c>
      <c r="K91" s="6" t="n">
        <v>-3.09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44903.498043981</v>
      </c>
      <c r="B92" s="2" t="s">
        <v>108</v>
      </c>
      <c r="C92" s="2" t="s">
        <v>938</v>
      </c>
      <c r="D92" s="2" t="s">
        <v>757</v>
      </c>
      <c r="E92" s="2" t="s">
        <v>96</v>
      </c>
      <c r="F92" s="2" t="s">
        <v>20</v>
      </c>
      <c r="G92" s="7" t="n">
        <v>1</v>
      </c>
      <c r="H92" s="6" t="n">
        <v>78.45</v>
      </c>
      <c r="I92" s="6" t="n">
        <v>-784.5</v>
      </c>
      <c r="J92" s="6" t="n">
        <v>-21.86</v>
      </c>
      <c r="K92" s="6" t="n">
        <v>-2.35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44903.498576389</v>
      </c>
      <c r="B93" s="2" t="s">
        <v>105</v>
      </c>
      <c r="C93" s="2" t="s">
        <v>895</v>
      </c>
      <c r="D93" s="2" t="s">
        <v>757</v>
      </c>
      <c r="E93" s="2" t="s">
        <v>96</v>
      </c>
      <c r="F93" s="2" t="s">
        <v>20</v>
      </c>
      <c r="G93" s="7" t="n">
        <v>1</v>
      </c>
      <c r="H93" s="6" t="n">
        <v>104.833</v>
      </c>
      <c r="I93" s="6" t="n">
        <v>-1048.33</v>
      </c>
      <c r="J93" s="6" t="n">
        <v>-6.47</v>
      </c>
      <c r="K93" s="6" t="n">
        <v>-3.14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44903.499236111</v>
      </c>
      <c r="B94" s="2" t="s">
        <v>765</v>
      </c>
      <c r="C94" s="2" t="s">
        <v>939</v>
      </c>
      <c r="D94" s="2" t="s">
        <v>757</v>
      </c>
      <c r="E94" s="2" t="s">
        <v>96</v>
      </c>
      <c r="F94" s="2" t="s">
        <v>20</v>
      </c>
      <c r="G94" s="7" t="n">
        <v>1</v>
      </c>
      <c r="H94" s="6" t="n">
        <v>102.201</v>
      </c>
      <c r="I94" s="6" t="n">
        <v>-1022.01</v>
      </c>
      <c r="J94" s="6" t="n">
        <v>-50.57</v>
      </c>
      <c r="K94" s="6" t="n">
        <v>-3.07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1" t="n">
        <v>44910.439571759</v>
      </c>
      <c r="B95" s="22" t="s">
        <v>884</v>
      </c>
      <c r="C95" s="22" t="s">
        <v>336</v>
      </c>
      <c r="D95" s="22" t="s">
        <v>884</v>
      </c>
      <c r="E95" s="22" t="s">
        <v>884</v>
      </c>
      <c r="F95" s="22" t="s">
        <v>20</v>
      </c>
      <c r="G95" s="23" t="n">
        <v>1</v>
      </c>
      <c r="H95" s="24" t="n">
        <v>1</v>
      </c>
      <c r="I95" s="24" t="n">
        <v>1000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2"/>
    </row>
    <row collapsed="false" customFormat="false" customHeight="false" hidden="false" ht="12.1" outlineLevel="0" r="96">
      <c r="A96" s="20" t="n">
        <v>44910.447233796</v>
      </c>
      <c r="B96" s="2" t="s">
        <v>17</v>
      </c>
      <c r="C96" s="2" t="s">
        <v>940</v>
      </c>
      <c r="D96" s="2" t="s">
        <v>757</v>
      </c>
      <c r="E96" s="2" t="s">
        <v>18</v>
      </c>
      <c r="F96" s="2" t="s">
        <v>20</v>
      </c>
      <c r="G96" s="7" t="n">
        <v>10</v>
      </c>
      <c r="H96" s="6" t="n">
        <v>135.8</v>
      </c>
      <c r="I96" s="6" t="n">
        <v>-1358</v>
      </c>
      <c r="J96" s="6" t="n">
        <v>0</v>
      </c>
      <c r="K96" s="6" t="n">
        <v>-4.07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44917.616851852</v>
      </c>
      <c r="B97" s="22" t="s">
        <v>891</v>
      </c>
      <c r="C97" s="22" t="s">
        <v>941</v>
      </c>
      <c r="D97" s="22" t="s">
        <v>891</v>
      </c>
      <c r="E97" s="22" t="s">
        <v>891</v>
      </c>
      <c r="F97" s="22" t="s">
        <v>20</v>
      </c>
      <c r="G97" s="23" t="n">
        <v>1</v>
      </c>
      <c r="H97" s="24" t="n">
        <v>1</v>
      </c>
      <c r="I97" s="24" t="n">
        <v>145.9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1" t="n">
        <v>44929.579305556</v>
      </c>
      <c r="B98" s="22" t="s">
        <v>884</v>
      </c>
      <c r="C98" s="22" t="s">
        <v>336</v>
      </c>
      <c r="D98" s="22" t="s">
        <v>884</v>
      </c>
      <c r="E98" s="22" t="s">
        <v>884</v>
      </c>
      <c r="F98" s="22" t="s">
        <v>20</v>
      </c>
      <c r="G98" s="23" t="n">
        <v>1</v>
      </c>
      <c r="H98" s="24" t="n">
        <v>1</v>
      </c>
      <c r="I98" s="24" t="n">
        <v>4600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0" t="n">
        <v>44929.584386574</v>
      </c>
      <c r="B99" s="2" t="s">
        <v>99</v>
      </c>
      <c r="C99" s="2" t="s">
        <v>897</v>
      </c>
      <c r="D99" s="2" t="s">
        <v>757</v>
      </c>
      <c r="E99" s="2" t="s">
        <v>96</v>
      </c>
      <c r="F99" s="2" t="s">
        <v>20</v>
      </c>
      <c r="G99" s="7" t="n">
        <v>1</v>
      </c>
      <c r="H99" s="6" t="n">
        <v>104.499</v>
      </c>
      <c r="I99" s="6" t="n">
        <v>-1044.99</v>
      </c>
      <c r="J99" s="6" t="n">
        <v>-3.6600000000001</v>
      </c>
      <c r="K99" s="6" t="n">
        <v>-3.13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44929.586157407</v>
      </c>
      <c r="B100" s="2" t="s">
        <v>291</v>
      </c>
      <c r="C100" s="2" t="s">
        <v>942</v>
      </c>
      <c r="D100" s="2" t="s">
        <v>757</v>
      </c>
      <c r="E100" s="2" t="s">
        <v>96</v>
      </c>
      <c r="F100" s="2" t="s">
        <v>20</v>
      </c>
      <c r="G100" s="7" t="n">
        <v>1</v>
      </c>
      <c r="H100" s="6" t="n">
        <v>100.55</v>
      </c>
      <c r="I100" s="6" t="n">
        <v>-1005.5</v>
      </c>
      <c r="J100" s="6" t="n">
        <v>-19.85</v>
      </c>
      <c r="K100" s="6" t="n">
        <v>-3.02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44929.597291667</v>
      </c>
      <c r="B101" s="2" t="s">
        <v>60</v>
      </c>
      <c r="C101" s="2" t="s">
        <v>943</v>
      </c>
      <c r="D101" s="2" t="s">
        <v>757</v>
      </c>
      <c r="E101" s="2" t="s">
        <v>18</v>
      </c>
      <c r="F101" s="2" t="s">
        <v>20</v>
      </c>
      <c r="G101" s="7" t="n">
        <v>100</v>
      </c>
      <c r="H101" s="6" t="n">
        <v>12.047</v>
      </c>
      <c r="I101" s="6" t="n">
        <v>-1204.7</v>
      </c>
      <c r="J101" s="6" t="n">
        <v>0</v>
      </c>
      <c r="K101" s="6" t="n">
        <v>-3.61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44929.599490741</v>
      </c>
      <c r="B102" s="2" t="s">
        <v>28</v>
      </c>
      <c r="C102" s="2" t="s">
        <v>944</v>
      </c>
      <c r="D102" s="2" t="s">
        <v>757</v>
      </c>
      <c r="E102" s="2" t="s">
        <v>18</v>
      </c>
      <c r="F102" s="2" t="s">
        <v>20</v>
      </c>
      <c r="G102" s="7" t="n">
        <v>10</v>
      </c>
      <c r="H102" s="6" t="n">
        <v>141.54</v>
      </c>
      <c r="I102" s="6" t="n">
        <v>-1415.4</v>
      </c>
      <c r="J102" s="6" t="n">
        <v>0</v>
      </c>
      <c r="K102" s="6" t="n">
        <v>-4.25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44936.540266204</v>
      </c>
      <c r="B103" s="22" t="s">
        <v>891</v>
      </c>
      <c r="C103" s="22" t="s">
        <v>900</v>
      </c>
      <c r="D103" s="22" t="s">
        <v>891</v>
      </c>
      <c r="E103" s="22" t="s">
        <v>891</v>
      </c>
      <c r="F103" s="22" t="s">
        <v>20</v>
      </c>
      <c r="G103" s="23" t="n">
        <v>1</v>
      </c>
      <c r="H103" s="24" t="n">
        <v>1</v>
      </c>
      <c r="I103" s="24" t="n">
        <v>20.94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1" t="n">
        <v>44950.52099537</v>
      </c>
      <c r="B104" s="22" t="s">
        <v>884</v>
      </c>
      <c r="C104" s="22" t="s">
        <v>336</v>
      </c>
      <c r="D104" s="22" t="s">
        <v>884</v>
      </c>
      <c r="E104" s="22" t="s">
        <v>884</v>
      </c>
      <c r="F104" s="22" t="s">
        <v>20</v>
      </c>
      <c r="G104" s="23" t="n">
        <v>1</v>
      </c>
      <c r="H104" s="24" t="n">
        <v>1</v>
      </c>
      <c r="I104" s="24" t="n">
        <v>5600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4"/>
      <c r="O104" s="22"/>
    </row>
    <row collapsed="false" customFormat="false" customHeight="false" hidden="false" ht="12.1" outlineLevel="0" r="105">
      <c r="A105" s="20" t="n">
        <v>44950.523275463</v>
      </c>
      <c r="B105" s="2" t="s">
        <v>105</v>
      </c>
      <c r="C105" s="2" t="s">
        <v>895</v>
      </c>
      <c r="D105" s="2" t="s">
        <v>757</v>
      </c>
      <c r="E105" s="2" t="s">
        <v>96</v>
      </c>
      <c r="F105" s="2" t="s">
        <v>20</v>
      </c>
      <c r="G105" s="7" t="n">
        <v>1</v>
      </c>
      <c r="H105" s="6" t="n">
        <v>104.558</v>
      </c>
      <c r="I105" s="6" t="n">
        <v>-1045.58</v>
      </c>
      <c r="J105" s="6" t="n">
        <v>-19.7</v>
      </c>
      <c r="K105" s="6" t="n">
        <v>-3.14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0" t="n">
        <v>44950.523726852</v>
      </c>
      <c r="B106" s="2" t="s">
        <v>102</v>
      </c>
      <c r="C106" s="2" t="s">
        <v>935</v>
      </c>
      <c r="D106" s="2" t="s">
        <v>757</v>
      </c>
      <c r="E106" s="2" t="s">
        <v>96</v>
      </c>
      <c r="F106" s="2" t="s">
        <v>20</v>
      </c>
      <c r="G106" s="7" t="n">
        <v>1</v>
      </c>
      <c r="H106" s="6" t="n">
        <v>74.936</v>
      </c>
      <c r="I106" s="6" t="n">
        <v>-749.36</v>
      </c>
      <c r="J106" s="6" t="n">
        <v>-9.53</v>
      </c>
      <c r="K106" s="6" t="n">
        <v>-2.25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44950.524039352</v>
      </c>
      <c r="B107" s="2" t="s">
        <v>108</v>
      </c>
      <c r="C107" s="2" t="s">
        <v>938</v>
      </c>
      <c r="D107" s="2" t="s">
        <v>757</v>
      </c>
      <c r="E107" s="2" t="s">
        <v>96</v>
      </c>
      <c r="F107" s="2" t="s">
        <v>20</v>
      </c>
      <c r="G107" s="7" t="n">
        <v>1</v>
      </c>
      <c r="H107" s="6" t="n">
        <v>77.2</v>
      </c>
      <c r="I107" s="6" t="n">
        <v>-772</v>
      </c>
      <c r="J107" s="6" t="n">
        <v>-30.87</v>
      </c>
      <c r="K107" s="6" t="n">
        <v>-2.32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44950.524652778</v>
      </c>
      <c r="B108" s="2" t="s">
        <v>111</v>
      </c>
      <c r="C108" s="2" t="s">
        <v>928</v>
      </c>
      <c r="D108" s="2" t="s">
        <v>757</v>
      </c>
      <c r="E108" s="2" t="s">
        <v>96</v>
      </c>
      <c r="F108" s="2" t="s">
        <v>20</v>
      </c>
      <c r="G108" s="7" t="n">
        <v>1</v>
      </c>
      <c r="H108" s="6" t="n">
        <v>81.169</v>
      </c>
      <c r="I108" s="6" t="n">
        <v>-811.69</v>
      </c>
      <c r="J108" s="6" t="n">
        <v>-23.62</v>
      </c>
      <c r="K108" s="6" t="n">
        <v>-2.44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44950.53130787</v>
      </c>
      <c r="B109" s="2" t="s">
        <v>141</v>
      </c>
      <c r="C109" s="2" t="s">
        <v>936</v>
      </c>
      <c r="D109" s="2" t="s">
        <v>757</v>
      </c>
      <c r="E109" s="2" t="s">
        <v>96</v>
      </c>
      <c r="F109" s="2" t="s">
        <v>20</v>
      </c>
      <c r="G109" s="7" t="n">
        <v>1</v>
      </c>
      <c r="H109" s="6" t="n">
        <v>104.47</v>
      </c>
      <c r="I109" s="6" t="n">
        <v>-1044.7</v>
      </c>
      <c r="J109" s="6" t="n">
        <v>-33.66</v>
      </c>
      <c r="K109" s="6" t="n">
        <v>-3.13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1" t="n">
        <v>44950.53375</v>
      </c>
      <c r="B110" s="22" t="s">
        <v>884</v>
      </c>
      <c r="C110" s="22" t="s">
        <v>336</v>
      </c>
      <c r="D110" s="22" t="s">
        <v>884</v>
      </c>
      <c r="E110" s="22" t="s">
        <v>884</v>
      </c>
      <c r="F110" s="22" t="s">
        <v>20</v>
      </c>
      <c r="G110" s="23" t="n">
        <v>1</v>
      </c>
      <c r="H110" s="24" t="n">
        <v>1</v>
      </c>
      <c r="I110" s="24" t="n">
        <v>600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4"/>
      <c r="O110" s="22"/>
    </row>
    <row collapsed="false" customFormat="false" customHeight="false" hidden="false" ht="12.1" outlineLevel="0" r="111">
      <c r="A111" s="20" t="n">
        <v>44950.5340625</v>
      </c>
      <c r="B111" s="2" t="s">
        <v>17</v>
      </c>
      <c r="C111" s="2" t="s">
        <v>940</v>
      </c>
      <c r="D111" s="2" t="s">
        <v>757</v>
      </c>
      <c r="E111" s="2" t="s">
        <v>18</v>
      </c>
      <c r="F111" s="2" t="s">
        <v>20</v>
      </c>
      <c r="G111" s="7" t="n">
        <v>10</v>
      </c>
      <c r="H111" s="6" t="n">
        <v>154.29</v>
      </c>
      <c r="I111" s="6" t="n">
        <v>-1542.9</v>
      </c>
      <c r="J111" s="6" t="n">
        <v>0</v>
      </c>
      <c r="K111" s="6" t="n">
        <v>-4.63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44952.430613426</v>
      </c>
      <c r="B112" s="22" t="s">
        <v>891</v>
      </c>
      <c r="C112" s="22" t="s">
        <v>908</v>
      </c>
      <c r="D112" s="22" t="s">
        <v>891</v>
      </c>
      <c r="E112" s="22" t="s">
        <v>891</v>
      </c>
      <c r="F112" s="22" t="s">
        <v>20</v>
      </c>
      <c r="G112" s="23" t="n">
        <v>1</v>
      </c>
      <c r="H112" s="24" t="n">
        <v>1</v>
      </c>
      <c r="I112" s="24" t="n">
        <v>18.31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44952.800185185</v>
      </c>
      <c r="B113" s="22" t="s">
        <v>891</v>
      </c>
      <c r="C113" s="22" t="s">
        <v>923</v>
      </c>
      <c r="D113" s="22" t="s">
        <v>891</v>
      </c>
      <c r="E113" s="22" t="s">
        <v>891</v>
      </c>
      <c r="F113" s="22" t="s">
        <v>20</v>
      </c>
      <c r="G113" s="23" t="n">
        <v>1</v>
      </c>
      <c r="H113" s="24" t="n">
        <v>1</v>
      </c>
      <c r="I113" s="24" t="n">
        <v>6.86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44952.800185185</v>
      </c>
      <c r="B114" s="26" t="s">
        <v>917</v>
      </c>
      <c r="C114" s="26" t="s">
        <v>922</v>
      </c>
      <c r="D114" s="26" t="s">
        <v>917</v>
      </c>
      <c r="E114" s="26" t="s">
        <v>917</v>
      </c>
      <c r="F114" s="26" t="s">
        <v>20</v>
      </c>
      <c r="G114" s="27" t="n">
        <v>1</v>
      </c>
      <c r="H114" s="28" t="n">
        <v>-1</v>
      </c>
      <c r="I114" s="28" t="n">
        <v>-1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1" t="n">
        <v>44958.480150463</v>
      </c>
      <c r="B115" s="22" t="s">
        <v>891</v>
      </c>
      <c r="C115" s="22" t="s">
        <v>945</v>
      </c>
      <c r="D115" s="22" t="s">
        <v>891</v>
      </c>
      <c r="E115" s="22" t="s">
        <v>891</v>
      </c>
      <c r="F115" s="22" t="s">
        <v>20</v>
      </c>
      <c r="G115" s="23" t="n">
        <v>1</v>
      </c>
      <c r="H115" s="24" t="n">
        <v>1</v>
      </c>
      <c r="I115" s="24" t="n">
        <v>28.22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44959.469027778</v>
      </c>
      <c r="B116" s="22" t="s">
        <v>891</v>
      </c>
      <c r="C116" s="22" t="s">
        <v>946</v>
      </c>
      <c r="D116" s="22" t="s">
        <v>891</v>
      </c>
      <c r="E116" s="22" t="s">
        <v>891</v>
      </c>
      <c r="F116" s="22" t="s">
        <v>20</v>
      </c>
      <c r="G116" s="23" t="n">
        <v>1</v>
      </c>
      <c r="H116" s="24" t="n">
        <v>1</v>
      </c>
      <c r="I116" s="24" t="n">
        <v>71.9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44959.520266204</v>
      </c>
      <c r="B117" s="22" t="s">
        <v>891</v>
      </c>
      <c r="C117" s="22" t="s">
        <v>909</v>
      </c>
      <c r="D117" s="22" t="s">
        <v>891</v>
      </c>
      <c r="E117" s="22" t="s">
        <v>891</v>
      </c>
      <c r="F117" s="22" t="s">
        <v>20</v>
      </c>
      <c r="G117" s="23" t="n">
        <v>1</v>
      </c>
      <c r="H117" s="24" t="n">
        <v>1</v>
      </c>
      <c r="I117" s="24" t="n">
        <v>60.84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44964.410706019</v>
      </c>
      <c r="B118" s="22" t="s">
        <v>891</v>
      </c>
      <c r="C118" s="22" t="s">
        <v>947</v>
      </c>
      <c r="D118" s="22" t="s">
        <v>891</v>
      </c>
      <c r="E118" s="22" t="s">
        <v>891</v>
      </c>
      <c r="F118" s="22" t="s">
        <v>20</v>
      </c>
      <c r="G118" s="23" t="n">
        <v>1</v>
      </c>
      <c r="H118" s="24" t="n">
        <v>1</v>
      </c>
      <c r="I118" s="24" t="n">
        <v>61.86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44973.503171296</v>
      </c>
      <c r="B119" s="22" t="s">
        <v>891</v>
      </c>
      <c r="C119" s="22" t="s">
        <v>948</v>
      </c>
      <c r="D119" s="22" t="s">
        <v>891</v>
      </c>
      <c r="E119" s="22" t="s">
        <v>891</v>
      </c>
      <c r="F119" s="22" t="s">
        <v>20</v>
      </c>
      <c r="G119" s="23" t="n">
        <v>1</v>
      </c>
      <c r="H119" s="24" t="n">
        <v>1</v>
      </c>
      <c r="I119" s="24" t="n">
        <v>69.8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44984.566064815</v>
      </c>
      <c r="B120" s="22" t="s">
        <v>891</v>
      </c>
      <c r="C120" s="22" t="s">
        <v>892</v>
      </c>
      <c r="D120" s="22" t="s">
        <v>891</v>
      </c>
      <c r="E120" s="22" t="s">
        <v>891</v>
      </c>
      <c r="F120" s="22" t="s">
        <v>20</v>
      </c>
      <c r="G120" s="23" t="n">
        <v>1</v>
      </c>
      <c r="H120" s="24" t="n">
        <v>1</v>
      </c>
      <c r="I120" s="24" t="n">
        <v>10.72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44984.859085648</v>
      </c>
      <c r="B121" s="22" t="s">
        <v>884</v>
      </c>
      <c r="C121" s="22" t="s">
        <v>336</v>
      </c>
      <c r="D121" s="22" t="s">
        <v>884</v>
      </c>
      <c r="E121" s="22" t="s">
        <v>884</v>
      </c>
      <c r="F121" s="22" t="s">
        <v>20</v>
      </c>
      <c r="G121" s="23" t="n">
        <v>1</v>
      </c>
      <c r="H121" s="24" t="n">
        <v>1</v>
      </c>
      <c r="I121" s="24" t="n">
        <v>5400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0" t="n">
        <v>44984.864097222</v>
      </c>
      <c r="B122" s="2" t="s">
        <v>28</v>
      </c>
      <c r="C122" s="2" t="s">
        <v>944</v>
      </c>
      <c r="D122" s="2" t="s">
        <v>757</v>
      </c>
      <c r="E122" s="2" t="s">
        <v>18</v>
      </c>
      <c r="F122" s="2" t="s">
        <v>20</v>
      </c>
      <c r="G122" s="7" t="n">
        <v>10</v>
      </c>
      <c r="H122" s="6" t="n">
        <v>167.38</v>
      </c>
      <c r="I122" s="6" t="n">
        <v>-1673.8</v>
      </c>
      <c r="J122" s="6" t="n">
        <v>0</v>
      </c>
      <c r="K122" s="6" t="n">
        <v>-5.02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44984.864710648</v>
      </c>
      <c r="B123" s="2" t="s">
        <v>49</v>
      </c>
      <c r="C123" s="2" t="s">
        <v>899</v>
      </c>
      <c r="D123" s="2" t="s">
        <v>757</v>
      </c>
      <c r="E123" s="2" t="s">
        <v>18</v>
      </c>
      <c r="F123" s="2" t="s">
        <v>20</v>
      </c>
      <c r="G123" s="7" t="n">
        <v>10000</v>
      </c>
      <c r="H123" s="6" t="n">
        <v>0.016425</v>
      </c>
      <c r="I123" s="6" t="n">
        <v>-164.25</v>
      </c>
      <c r="J123" s="6" t="n">
        <v>0</v>
      </c>
      <c r="K123" s="6" t="n">
        <v>-0.49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44984.866006944</v>
      </c>
      <c r="B124" s="2" t="s">
        <v>46</v>
      </c>
      <c r="C124" s="2" t="s">
        <v>905</v>
      </c>
      <c r="D124" s="2" t="s">
        <v>757</v>
      </c>
      <c r="E124" s="2" t="s">
        <v>18</v>
      </c>
      <c r="F124" s="2" t="s">
        <v>20</v>
      </c>
      <c r="G124" s="7" t="n">
        <v>100</v>
      </c>
      <c r="H124" s="6" t="n">
        <v>3.4115</v>
      </c>
      <c r="I124" s="6" t="n">
        <v>-341.15</v>
      </c>
      <c r="J124" s="6" t="n">
        <v>0</v>
      </c>
      <c r="K124" s="6" t="n">
        <v>-1.02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44984.86693287</v>
      </c>
      <c r="B125" s="2" t="s">
        <v>17</v>
      </c>
      <c r="C125" s="2" t="s">
        <v>940</v>
      </c>
      <c r="D125" s="2" t="s">
        <v>757</v>
      </c>
      <c r="E125" s="2" t="s">
        <v>18</v>
      </c>
      <c r="F125" s="2" t="s">
        <v>20</v>
      </c>
      <c r="G125" s="7" t="n">
        <v>10</v>
      </c>
      <c r="H125" s="6" t="n">
        <v>169.36</v>
      </c>
      <c r="I125" s="6" t="n">
        <v>-1693.6</v>
      </c>
      <c r="J125" s="6" t="n">
        <v>0</v>
      </c>
      <c r="K125" s="6" t="n">
        <v>-5.08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44984.868344907</v>
      </c>
      <c r="B126" s="2" t="s">
        <v>54</v>
      </c>
      <c r="C126" s="2" t="s">
        <v>949</v>
      </c>
      <c r="D126" s="2" t="s">
        <v>757</v>
      </c>
      <c r="E126" s="2" t="s">
        <v>18</v>
      </c>
      <c r="F126" s="2" t="s">
        <v>20</v>
      </c>
      <c r="G126" s="7" t="n">
        <v>10</v>
      </c>
      <c r="H126" s="6" t="n">
        <v>28.24</v>
      </c>
      <c r="I126" s="6" t="n">
        <v>-282.4</v>
      </c>
      <c r="J126" s="6" t="n">
        <v>0</v>
      </c>
      <c r="K126" s="6" t="n">
        <v>-0.85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0" t="n">
        <v>44984.868923611</v>
      </c>
      <c r="B127" s="2" t="s">
        <v>40</v>
      </c>
      <c r="C127" s="2" t="s">
        <v>950</v>
      </c>
      <c r="D127" s="2" t="s">
        <v>757</v>
      </c>
      <c r="E127" s="2" t="s">
        <v>18</v>
      </c>
      <c r="F127" s="2" t="s">
        <v>20</v>
      </c>
      <c r="G127" s="7" t="n">
        <v>10</v>
      </c>
      <c r="H127" s="6" t="n">
        <v>115.8</v>
      </c>
      <c r="I127" s="6" t="n">
        <v>-1158</v>
      </c>
      <c r="J127" s="6" t="n">
        <v>0</v>
      </c>
      <c r="K127" s="6" t="n">
        <v>-3.47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1" t="n">
        <v>44992.606435185</v>
      </c>
      <c r="B128" s="22" t="s">
        <v>891</v>
      </c>
      <c r="C128" s="22" t="s">
        <v>933</v>
      </c>
      <c r="D128" s="22" t="s">
        <v>891</v>
      </c>
      <c r="E128" s="22" t="s">
        <v>891</v>
      </c>
      <c r="F128" s="22" t="s">
        <v>20</v>
      </c>
      <c r="G128" s="23" t="n">
        <v>1</v>
      </c>
      <c r="H128" s="24" t="n">
        <v>1</v>
      </c>
      <c r="I128" s="24" t="n">
        <v>24.81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4"/>
      <c r="O128" s="22"/>
    </row>
    <row collapsed="false" customFormat="false" customHeight="false" hidden="false" ht="12.1" outlineLevel="0" r="129">
      <c r="A129" s="21" t="n">
        <v>44995.549201389</v>
      </c>
      <c r="B129" s="22" t="s">
        <v>891</v>
      </c>
      <c r="C129" s="22" t="s">
        <v>951</v>
      </c>
      <c r="D129" s="22" t="s">
        <v>891</v>
      </c>
      <c r="E129" s="22" t="s">
        <v>891</v>
      </c>
      <c r="F129" s="22" t="s">
        <v>20</v>
      </c>
      <c r="G129" s="23" t="n">
        <v>1</v>
      </c>
      <c r="H129" s="24" t="n">
        <v>1</v>
      </c>
      <c r="I129" s="24" t="n">
        <v>69.51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1" t="n">
        <v>44995.581087963</v>
      </c>
      <c r="B130" s="22" t="s">
        <v>891</v>
      </c>
      <c r="C130" s="22" t="s">
        <v>934</v>
      </c>
      <c r="D130" s="22" t="s">
        <v>891</v>
      </c>
      <c r="E130" s="22" t="s">
        <v>891</v>
      </c>
      <c r="F130" s="22" t="s">
        <v>20</v>
      </c>
      <c r="G130" s="23" t="n">
        <v>1</v>
      </c>
      <c r="H130" s="24" t="n">
        <v>1</v>
      </c>
      <c r="I130" s="24" t="n">
        <v>19.87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/>
    </row>
    <row collapsed="false" customFormat="false" customHeight="false" hidden="false" ht="12.1" outlineLevel="0" r="131">
      <c r="A131" s="21" t="n">
        <v>44999.470023148</v>
      </c>
      <c r="B131" s="22" t="s">
        <v>884</v>
      </c>
      <c r="C131" s="22" t="s">
        <v>336</v>
      </c>
      <c r="D131" s="22" t="s">
        <v>884</v>
      </c>
      <c r="E131" s="22" t="s">
        <v>884</v>
      </c>
      <c r="F131" s="22" t="s">
        <v>20</v>
      </c>
      <c r="G131" s="23" t="n">
        <v>1</v>
      </c>
      <c r="H131" s="24" t="n">
        <v>1</v>
      </c>
      <c r="I131" s="24" t="n">
        <v>948.56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44999.485439815</v>
      </c>
      <c r="B132" s="22" t="s">
        <v>884</v>
      </c>
      <c r="C132" s="22" t="s">
        <v>336</v>
      </c>
      <c r="D132" s="22" t="s">
        <v>884</v>
      </c>
      <c r="E132" s="22" t="s">
        <v>884</v>
      </c>
      <c r="F132" s="22" t="s">
        <v>20</v>
      </c>
      <c r="G132" s="23" t="n">
        <v>1</v>
      </c>
      <c r="H132" s="24" t="n">
        <v>1</v>
      </c>
      <c r="I132" s="24" t="n">
        <v>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0" t="n">
        <v>44999.485752315</v>
      </c>
      <c r="B133" s="2" t="s">
        <v>70</v>
      </c>
      <c r="C133" s="2" t="s">
        <v>952</v>
      </c>
      <c r="D133" s="2" t="s">
        <v>757</v>
      </c>
      <c r="E133" s="2" t="s">
        <v>18</v>
      </c>
      <c r="F133" s="2" t="s">
        <v>20</v>
      </c>
      <c r="G133" s="7" t="n">
        <v>100</v>
      </c>
      <c r="H133" s="6" t="n">
        <v>22.26</v>
      </c>
      <c r="I133" s="6" t="n">
        <v>-2226</v>
      </c>
      <c r="J133" s="6" t="n">
        <v>0</v>
      </c>
      <c r="K133" s="6" t="n">
        <v>-6.68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1" t="n">
        <v>45001.706631944</v>
      </c>
      <c r="B134" s="22" t="s">
        <v>884</v>
      </c>
      <c r="C134" s="22" t="s">
        <v>336</v>
      </c>
      <c r="D134" s="22" t="s">
        <v>884</v>
      </c>
      <c r="E134" s="22" t="s">
        <v>884</v>
      </c>
      <c r="F134" s="22" t="s">
        <v>20</v>
      </c>
      <c r="G134" s="23" t="n">
        <v>1</v>
      </c>
      <c r="H134" s="24" t="n">
        <v>1</v>
      </c>
      <c r="I134" s="24" t="n">
        <v>9200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45001.707152778</v>
      </c>
      <c r="B135" s="22" t="s">
        <v>884</v>
      </c>
      <c r="C135" s="22" t="s">
        <v>336</v>
      </c>
      <c r="D135" s="22" t="s">
        <v>884</v>
      </c>
      <c r="E135" s="22" t="s">
        <v>884</v>
      </c>
      <c r="F135" s="22" t="s">
        <v>20</v>
      </c>
      <c r="G135" s="23" t="n">
        <v>1</v>
      </c>
      <c r="H135" s="24" t="n">
        <v>1</v>
      </c>
      <c r="I135" s="24" t="n">
        <v>50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45001.707719907</v>
      </c>
      <c r="B136" s="2" t="s">
        <v>25</v>
      </c>
      <c r="C136" s="2" t="s">
        <v>953</v>
      </c>
      <c r="D136" s="2" t="s">
        <v>757</v>
      </c>
      <c r="E136" s="2" t="s">
        <v>18</v>
      </c>
      <c r="F136" s="2" t="s">
        <v>20</v>
      </c>
      <c r="G136" s="7" t="n">
        <v>1</v>
      </c>
      <c r="H136" s="6" t="n">
        <v>9187.5</v>
      </c>
      <c r="I136" s="6" t="n">
        <v>-9187.5</v>
      </c>
      <c r="J136" s="6" t="n">
        <v>0</v>
      </c>
      <c r="K136" s="6" t="n">
        <v>-27.56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45001.786354167</v>
      </c>
      <c r="B137" s="22" t="s">
        <v>884</v>
      </c>
      <c r="C137" s="22" t="s">
        <v>336</v>
      </c>
      <c r="D137" s="22" t="s">
        <v>884</v>
      </c>
      <c r="E137" s="22" t="s">
        <v>884</v>
      </c>
      <c r="F137" s="22" t="s">
        <v>20</v>
      </c>
      <c r="G137" s="23" t="n">
        <v>1</v>
      </c>
      <c r="H137" s="24" t="n">
        <v>1</v>
      </c>
      <c r="I137" s="24" t="n">
        <v>150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45006.751608796</v>
      </c>
      <c r="B138" s="22" t="s">
        <v>884</v>
      </c>
      <c r="C138" s="22" t="s">
        <v>336</v>
      </c>
      <c r="D138" s="22" t="s">
        <v>884</v>
      </c>
      <c r="E138" s="22" t="s">
        <v>884</v>
      </c>
      <c r="F138" s="22" t="s">
        <v>20</v>
      </c>
      <c r="G138" s="23" t="n">
        <v>1</v>
      </c>
      <c r="H138" s="24" t="n">
        <v>1</v>
      </c>
      <c r="I138" s="24" t="n">
        <v>4506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0" t="n">
        <v>45006.772905093</v>
      </c>
      <c r="B139" s="2" t="s">
        <v>111</v>
      </c>
      <c r="C139" s="2" t="s">
        <v>928</v>
      </c>
      <c r="D139" s="2" t="s">
        <v>757</v>
      </c>
      <c r="E139" s="2" t="s">
        <v>96</v>
      </c>
      <c r="F139" s="2" t="s">
        <v>20</v>
      </c>
      <c r="G139" s="7" t="n">
        <v>1</v>
      </c>
      <c r="H139" s="6" t="n">
        <v>79.395</v>
      </c>
      <c r="I139" s="6" t="n">
        <v>-793.95</v>
      </c>
      <c r="J139" s="6" t="n">
        <v>-35.44</v>
      </c>
      <c r="K139" s="6" t="n">
        <v>-2.38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0" t="n">
        <v>45006.773148148</v>
      </c>
      <c r="B140" s="2" t="s">
        <v>135</v>
      </c>
      <c r="C140" s="2" t="s">
        <v>894</v>
      </c>
      <c r="D140" s="2" t="s">
        <v>757</v>
      </c>
      <c r="E140" s="2" t="s">
        <v>96</v>
      </c>
      <c r="F140" s="2" t="s">
        <v>20</v>
      </c>
      <c r="G140" s="7" t="n">
        <v>1</v>
      </c>
      <c r="H140" s="6" t="n">
        <v>79.73</v>
      </c>
      <c r="I140" s="6" t="n">
        <v>-797.3</v>
      </c>
      <c r="J140" s="6" t="n">
        <v>-23.64</v>
      </c>
      <c r="K140" s="6" t="n">
        <v>-2.39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45006.773622685</v>
      </c>
      <c r="B141" s="2" t="s">
        <v>117</v>
      </c>
      <c r="C141" s="2" t="s">
        <v>889</v>
      </c>
      <c r="D141" s="2" t="s">
        <v>757</v>
      </c>
      <c r="E141" s="2" t="s">
        <v>96</v>
      </c>
      <c r="F141" s="2" t="s">
        <v>20</v>
      </c>
      <c r="G141" s="7" t="n">
        <v>1</v>
      </c>
      <c r="H141" s="6" t="n">
        <v>77.748</v>
      </c>
      <c r="I141" s="6" t="n">
        <v>-777.48</v>
      </c>
      <c r="J141" s="6" t="n">
        <v>0</v>
      </c>
      <c r="K141" s="6" t="n">
        <v>-2.33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0" t="n">
        <v>45006.773900463</v>
      </c>
      <c r="B142" s="2" t="s">
        <v>108</v>
      </c>
      <c r="C142" s="2" t="s">
        <v>938</v>
      </c>
      <c r="D142" s="2" t="s">
        <v>757</v>
      </c>
      <c r="E142" s="2" t="s">
        <v>96</v>
      </c>
      <c r="F142" s="2" t="s">
        <v>20</v>
      </c>
      <c r="G142" s="7" t="n">
        <v>1</v>
      </c>
      <c r="H142" s="6" t="n">
        <v>75.425</v>
      </c>
      <c r="I142" s="6" t="n">
        <v>-754.25</v>
      </c>
      <c r="J142" s="6" t="n">
        <v>-6.71</v>
      </c>
      <c r="K142" s="6" t="n">
        <v>-2.26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45006.774212963</v>
      </c>
      <c r="B143" s="2" t="s">
        <v>102</v>
      </c>
      <c r="C143" s="2" t="s">
        <v>935</v>
      </c>
      <c r="D143" s="2" t="s">
        <v>757</v>
      </c>
      <c r="E143" s="2" t="s">
        <v>96</v>
      </c>
      <c r="F143" s="2" t="s">
        <v>20</v>
      </c>
      <c r="G143" s="7" t="n">
        <v>1</v>
      </c>
      <c r="H143" s="6" t="n">
        <v>73.403</v>
      </c>
      <c r="I143" s="6" t="n">
        <v>-734.03</v>
      </c>
      <c r="J143" s="6" t="n">
        <v>-20.42</v>
      </c>
      <c r="K143" s="6" t="n">
        <v>-2.2</v>
      </c>
      <c r="L143" s="6" t="n">
        <v>0</v>
      </c>
      <c r="M143" s="6" t="s">
        <f>=I143+J143+K143+L143</f>
      </c>
      <c r="N143" s="6"/>
      <c r="O143" s="2"/>
    </row>
    <row collapsed="false" customFormat="false" customHeight="false" hidden="false" ht="12.1" outlineLevel="0" r="144">
      <c r="A144" s="21" t="n">
        <v>45007.523668981</v>
      </c>
      <c r="B144" s="22" t="s">
        <v>891</v>
      </c>
      <c r="C144" s="22" t="s">
        <v>954</v>
      </c>
      <c r="D144" s="22" t="s">
        <v>891</v>
      </c>
      <c r="E144" s="22" t="s">
        <v>891</v>
      </c>
      <c r="F144" s="22" t="s">
        <v>20</v>
      </c>
      <c r="G144" s="23" t="n">
        <v>1</v>
      </c>
      <c r="H144" s="24" t="n">
        <v>1</v>
      </c>
      <c r="I144" s="24" t="n">
        <v>39.39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45008.392372685</v>
      </c>
      <c r="B145" s="22" t="s">
        <v>891</v>
      </c>
      <c r="C145" s="22" t="s">
        <v>913</v>
      </c>
      <c r="D145" s="22" t="s">
        <v>891</v>
      </c>
      <c r="E145" s="22" t="s">
        <v>891</v>
      </c>
      <c r="F145" s="22" t="s">
        <v>20</v>
      </c>
      <c r="G145" s="23" t="n">
        <v>1</v>
      </c>
      <c r="H145" s="24" t="n">
        <v>1</v>
      </c>
      <c r="I145" s="24" t="n">
        <v>58.84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45009.672604167</v>
      </c>
      <c r="B146" s="22" t="s">
        <v>884</v>
      </c>
      <c r="C146" s="22" t="s">
        <v>336</v>
      </c>
      <c r="D146" s="22" t="s">
        <v>884</v>
      </c>
      <c r="E146" s="22" t="s">
        <v>884</v>
      </c>
      <c r="F146" s="22" t="s">
        <v>20</v>
      </c>
      <c r="G146" s="23" t="n">
        <v>1</v>
      </c>
      <c r="H146" s="24" t="n">
        <v>1</v>
      </c>
      <c r="I146" s="24" t="n">
        <v>186.49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1" t="n">
        <v>45009.695150463</v>
      </c>
      <c r="B147" s="22" t="s">
        <v>884</v>
      </c>
      <c r="C147" s="22" t="s">
        <v>336</v>
      </c>
      <c r="D147" s="22" t="s">
        <v>884</v>
      </c>
      <c r="E147" s="22" t="s">
        <v>884</v>
      </c>
      <c r="F147" s="22" t="s">
        <v>20</v>
      </c>
      <c r="G147" s="23" t="n">
        <v>1</v>
      </c>
      <c r="H147" s="24" t="n">
        <v>1</v>
      </c>
      <c r="I147" s="24" t="n">
        <v>200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4"/>
      <c r="O147" s="22"/>
    </row>
    <row collapsed="false" customFormat="false" customHeight="false" hidden="false" ht="12.1" outlineLevel="0" r="148">
      <c r="A148" s="20" t="n">
        <v>45009.695763889</v>
      </c>
      <c r="B148" s="2" t="s">
        <v>153</v>
      </c>
      <c r="C148" s="2" t="s">
        <v>955</v>
      </c>
      <c r="D148" s="2" t="s">
        <v>757</v>
      </c>
      <c r="E148" s="2" t="s">
        <v>96</v>
      </c>
      <c r="F148" s="2" t="s">
        <v>20</v>
      </c>
      <c r="G148" s="7" t="n">
        <v>1</v>
      </c>
      <c r="H148" s="6" t="n">
        <v>80.62114715983</v>
      </c>
      <c r="I148" s="6" t="n">
        <v>-1133.88</v>
      </c>
      <c r="J148" s="6" t="n">
        <v>-14.41</v>
      </c>
      <c r="K148" s="6" t="n">
        <v>-3.4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45016.420127315</v>
      </c>
      <c r="B149" s="22" t="s">
        <v>891</v>
      </c>
      <c r="C149" s="22" t="s">
        <v>956</v>
      </c>
      <c r="D149" s="22" t="s">
        <v>891</v>
      </c>
      <c r="E149" s="22" t="s">
        <v>891</v>
      </c>
      <c r="F149" s="22" t="s">
        <v>20</v>
      </c>
      <c r="G149" s="23" t="n">
        <v>1</v>
      </c>
      <c r="H149" s="24" t="n">
        <v>1</v>
      </c>
      <c r="I149" s="24" t="n">
        <v>14.58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1" t="n">
        <v>45022.424814815</v>
      </c>
      <c r="B150" s="22" t="s">
        <v>891</v>
      </c>
      <c r="C150" s="22" t="s">
        <v>957</v>
      </c>
      <c r="D150" s="22" t="s">
        <v>891</v>
      </c>
      <c r="E150" s="22" t="s">
        <v>891</v>
      </c>
      <c r="F150" s="22" t="s">
        <v>20</v>
      </c>
      <c r="G150" s="23" t="n">
        <v>1</v>
      </c>
      <c r="H150" s="24" t="n">
        <v>1</v>
      </c>
      <c r="I150" s="24" t="n">
        <v>38.39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1" t="n">
        <v>45022.629699074</v>
      </c>
      <c r="B151" s="22" t="s">
        <v>891</v>
      </c>
      <c r="C151" s="22" t="s">
        <v>958</v>
      </c>
      <c r="D151" s="22" t="s">
        <v>891</v>
      </c>
      <c r="E151" s="22" t="s">
        <v>891</v>
      </c>
      <c r="F151" s="22" t="s">
        <v>20</v>
      </c>
      <c r="G151" s="23" t="n">
        <v>1</v>
      </c>
      <c r="H151" s="24" t="n">
        <v>1</v>
      </c>
      <c r="I151" s="24" t="n">
        <v>115.17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1" t="n">
        <v>45023.405462963</v>
      </c>
      <c r="B152" s="22" t="s">
        <v>891</v>
      </c>
      <c r="C152" s="22" t="s">
        <v>900</v>
      </c>
      <c r="D152" s="22" t="s">
        <v>891</v>
      </c>
      <c r="E152" s="22" t="s">
        <v>891</v>
      </c>
      <c r="F152" s="22" t="s">
        <v>20</v>
      </c>
      <c r="G152" s="23" t="n">
        <v>1</v>
      </c>
      <c r="H152" s="24" t="n">
        <v>1</v>
      </c>
      <c r="I152" s="24" t="n">
        <v>20.94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4"/>
      <c r="O152" s="22"/>
    </row>
    <row collapsed="false" customFormat="false" customHeight="false" hidden="false" ht="12.1" outlineLevel="0" r="153">
      <c r="A153" s="21" t="n">
        <v>45023.94025463</v>
      </c>
      <c r="B153" s="22" t="s">
        <v>884</v>
      </c>
      <c r="C153" s="22" t="s">
        <v>336</v>
      </c>
      <c r="D153" s="22" t="s">
        <v>884</v>
      </c>
      <c r="E153" s="22" t="s">
        <v>884</v>
      </c>
      <c r="F153" s="22" t="s">
        <v>20</v>
      </c>
      <c r="G153" s="23" t="n">
        <v>1</v>
      </c>
      <c r="H153" s="24" t="n">
        <v>1</v>
      </c>
      <c r="I153" s="24" t="n">
        <v>5000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45026.418125</v>
      </c>
      <c r="B154" s="2" t="s">
        <v>153</v>
      </c>
      <c r="C154" s="2" t="s">
        <v>955</v>
      </c>
      <c r="D154" s="2" t="s">
        <v>757</v>
      </c>
      <c r="E154" s="2" t="s">
        <v>96</v>
      </c>
      <c r="F154" s="2" t="s">
        <v>20</v>
      </c>
      <c r="G154" s="7" t="n">
        <v>1</v>
      </c>
      <c r="H154" s="6" t="n">
        <v>80.861471953812</v>
      </c>
      <c r="I154" s="6" t="n">
        <v>-1137.26</v>
      </c>
      <c r="J154" s="6" t="n">
        <v>-1.05</v>
      </c>
      <c r="K154" s="6" t="n">
        <v>-3.41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45026.418333333</v>
      </c>
      <c r="B155" s="2" t="s">
        <v>150</v>
      </c>
      <c r="C155" s="2" t="s">
        <v>959</v>
      </c>
      <c r="D155" s="2" t="s">
        <v>757</v>
      </c>
      <c r="E155" s="2" t="s">
        <v>96</v>
      </c>
      <c r="F155" s="2" t="s">
        <v>20</v>
      </c>
      <c r="G155" s="7" t="n">
        <v>1</v>
      </c>
      <c r="H155" s="6" t="n">
        <v>84.770626994323</v>
      </c>
      <c r="I155" s="6" t="n">
        <v>-1022.8</v>
      </c>
      <c r="J155" s="6" t="n">
        <v>-1.8600000000001</v>
      </c>
      <c r="K155" s="6" t="n">
        <v>-3.07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45026.419988426</v>
      </c>
      <c r="B156" s="2" t="s">
        <v>49</v>
      </c>
      <c r="C156" s="2" t="s">
        <v>899</v>
      </c>
      <c r="D156" s="2" t="s">
        <v>757</v>
      </c>
      <c r="E156" s="2" t="s">
        <v>18</v>
      </c>
      <c r="F156" s="2" t="s">
        <v>20</v>
      </c>
      <c r="G156" s="7" t="n">
        <v>30000</v>
      </c>
      <c r="H156" s="6" t="n">
        <v>0.018895</v>
      </c>
      <c r="I156" s="6" t="n">
        <v>-566.85</v>
      </c>
      <c r="J156" s="6" t="n">
        <v>0</v>
      </c>
      <c r="K156" s="6" t="n">
        <v>-1.7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45026.420439815</v>
      </c>
      <c r="B157" s="2" t="s">
        <v>46</v>
      </c>
      <c r="C157" s="2" t="s">
        <v>905</v>
      </c>
      <c r="D157" s="2" t="s">
        <v>757</v>
      </c>
      <c r="E157" s="2" t="s">
        <v>18</v>
      </c>
      <c r="F157" s="2" t="s">
        <v>20</v>
      </c>
      <c r="G157" s="7" t="n">
        <v>200</v>
      </c>
      <c r="H157" s="6" t="n">
        <v>3.8395</v>
      </c>
      <c r="I157" s="6" t="n">
        <v>-767.9</v>
      </c>
      <c r="J157" s="6" t="n">
        <v>0</v>
      </c>
      <c r="K157" s="6" t="n">
        <v>-2.3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45026.421180556</v>
      </c>
      <c r="B158" s="2" t="s">
        <v>150</v>
      </c>
      <c r="C158" s="2" t="s">
        <v>959</v>
      </c>
      <c r="D158" s="2" t="s">
        <v>757</v>
      </c>
      <c r="E158" s="2" t="s">
        <v>96</v>
      </c>
      <c r="F158" s="2" t="s">
        <v>20</v>
      </c>
      <c r="G158" s="7" t="n">
        <v>1</v>
      </c>
      <c r="H158" s="6" t="n">
        <v>84.770626994323</v>
      </c>
      <c r="I158" s="6" t="n">
        <v>-1022.8</v>
      </c>
      <c r="J158" s="6" t="n">
        <v>-1.8600000000001</v>
      </c>
      <c r="K158" s="6" t="n">
        <v>-3.07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45026.495081019</v>
      </c>
      <c r="B159" s="2" t="s">
        <v>311</v>
      </c>
      <c r="C159" s="2" t="s">
        <v>960</v>
      </c>
      <c r="D159" s="2" t="s">
        <v>757</v>
      </c>
      <c r="E159" s="2" t="s">
        <v>96</v>
      </c>
      <c r="F159" s="2" t="s">
        <v>20</v>
      </c>
      <c r="G159" s="7" t="n">
        <v>1</v>
      </c>
      <c r="H159" s="6" t="n">
        <v>89.44</v>
      </c>
      <c r="I159" s="6" t="n">
        <v>-559</v>
      </c>
      <c r="J159" s="6" t="n">
        <v>-5.59</v>
      </c>
      <c r="K159" s="6" t="n">
        <v>-1.68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1" t="n">
        <v>45029.644953704</v>
      </c>
      <c r="B160" s="22" t="s">
        <v>891</v>
      </c>
      <c r="C160" s="22" t="s">
        <v>961</v>
      </c>
      <c r="D160" s="22" t="s">
        <v>891</v>
      </c>
      <c r="E160" s="22" t="s">
        <v>891</v>
      </c>
      <c r="F160" s="22" t="s">
        <v>20</v>
      </c>
      <c r="G160" s="23" t="n">
        <v>1</v>
      </c>
      <c r="H160" s="24" t="n">
        <v>1</v>
      </c>
      <c r="I160" s="24" t="n">
        <v>116.68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1" t="n">
        <v>45030.317534722</v>
      </c>
      <c r="B161" s="22" t="s">
        <v>884</v>
      </c>
      <c r="C161" s="22" t="s">
        <v>336</v>
      </c>
      <c r="D161" s="22" t="s">
        <v>884</v>
      </c>
      <c r="E161" s="22" t="s">
        <v>884</v>
      </c>
      <c r="F161" s="22" t="s">
        <v>20</v>
      </c>
      <c r="G161" s="23" t="n">
        <v>1</v>
      </c>
      <c r="H161" s="24" t="n">
        <v>1</v>
      </c>
      <c r="I161" s="24" t="n">
        <v>1182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2"/>
    </row>
    <row collapsed="false" customFormat="false" customHeight="false" hidden="false" ht="12.1" outlineLevel="0" r="162">
      <c r="A162" s="20" t="n">
        <v>45030.686076389</v>
      </c>
      <c r="B162" s="2" t="s">
        <v>153</v>
      </c>
      <c r="C162" s="2" t="s">
        <v>955</v>
      </c>
      <c r="D162" s="2" t="s">
        <v>757</v>
      </c>
      <c r="E162" s="2" t="s">
        <v>96</v>
      </c>
      <c r="F162" s="2" t="s">
        <v>20</v>
      </c>
      <c r="G162" s="7" t="n">
        <v>1</v>
      </c>
      <c r="H162" s="6" t="n">
        <v>80.855783793008</v>
      </c>
      <c r="I162" s="6" t="n">
        <v>-1137.18</v>
      </c>
      <c r="J162" s="6" t="n">
        <v>-1.53</v>
      </c>
      <c r="K162" s="6" t="n">
        <v>-3.41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45035.727997685</v>
      </c>
      <c r="B163" s="22" t="s">
        <v>884</v>
      </c>
      <c r="C163" s="22" t="s">
        <v>336</v>
      </c>
      <c r="D163" s="22" t="s">
        <v>884</v>
      </c>
      <c r="E163" s="22" t="s">
        <v>884</v>
      </c>
      <c r="F163" s="22" t="s">
        <v>20</v>
      </c>
      <c r="G163" s="23" t="n">
        <v>1</v>
      </c>
      <c r="H163" s="24" t="n">
        <v>1</v>
      </c>
      <c r="I163" s="24" t="n">
        <v>758.7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0" t="n">
        <v>45035.755381944</v>
      </c>
      <c r="B164" s="2" t="s">
        <v>63</v>
      </c>
      <c r="C164" s="2" t="s">
        <v>962</v>
      </c>
      <c r="D164" s="2" t="s">
        <v>757</v>
      </c>
      <c r="E164" s="2" t="s">
        <v>18</v>
      </c>
      <c r="F164" s="2" t="s">
        <v>20</v>
      </c>
      <c r="G164" s="7" t="n">
        <v>10</v>
      </c>
      <c r="H164" s="6" t="n">
        <v>63.62</v>
      </c>
      <c r="I164" s="6" t="n">
        <v>-636.2</v>
      </c>
      <c r="J164" s="6" t="n">
        <v>0</v>
      </c>
      <c r="K164" s="6" t="n">
        <v>-1.91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45043.477037037</v>
      </c>
      <c r="B165" s="22" t="s">
        <v>891</v>
      </c>
      <c r="C165" s="22" t="s">
        <v>908</v>
      </c>
      <c r="D165" s="22" t="s">
        <v>891</v>
      </c>
      <c r="E165" s="22" t="s">
        <v>891</v>
      </c>
      <c r="F165" s="22" t="s">
        <v>20</v>
      </c>
      <c r="G165" s="23" t="n">
        <v>1</v>
      </c>
      <c r="H165" s="24" t="n">
        <v>1</v>
      </c>
      <c r="I165" s="24" t="n">
        <v>17.98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45049.518622685</v>
      </c>
      <c r="B166" s="22" t="s">
        <v>891</v>
      </c>
      <c r="C166" s="22" t="s">
        <v>945</v>
      </c>
      <c r="D166" s="22" t="s">
        <v>891</v>
      </c>
      <c r="E166" s="22" t="s">
        <v>891</v>
      </c>
      <c r="F166" s="22" t="s">
        <v>20</v>
      </c>
      <c r="G166" s="23" t="n">
        <v>1</v>
      </c>
      <c r="H166" s="24" t="n">
        <v>1</v>
      </c>
      <c r="I166" s="24" t="n">
        <v>28.22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45051.488842593</v>
      </c>
      <c r="B167" s="22" t="s">
        <v>891</v>
      </c>
      <c r="C167" s="22" t="s">
        <v>929</v>
      </c>
      <c r="D167" s="22" t="s">
        <v>891</v>
      </c>
      <c r="E167" s="22" t="s">
        <v>891</v>
      </c>
      <c r="F167" s="22" t="s">
        <v>20</v>
      </c>
      <c r="G167" s="23" t="n">
        <v>1</v>
      </c>
      <c r="H167" s="24" t="n">
        <v>1</v>
      </c>
      <c r="I167" s="24" t="n">
        <v>42.38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1" t="n">
        <v>45053.581898148</v>
      </c>
      <c r="B168" s="22" t="s">
        <v>884</v>
      </c>
      <c r="C168" s="22" t="s">
        <v>336</v>
      </c>
      <c r="D168" s="22" t="s">
        <v>884</v>
      </c>
      <c r="E168" s="22" t="s">
        <v>884</v>
      </c>
      <c r="F168" s="22" t="s">
        <v>20</v>
      </c>
      <c r="G168" s="23" t="n">
        <v>1</v>
      </c>
      <c r="H168" s="24" t="n">
        <v>1</v>
      </c>
      <c r="I168" s="24" t="n">
        <v>5000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0" t="n">
        <v>45056.494305556</v>
      </c>
      <c r="B169" s="2" t="s">
        <v>17</v>
      </c>
      <c r="C169" s="2" t="s">
        <v>940</v>
      </c>
      <c r="D169" s="2" t="s">
        <v>757</v>
      </c>
      <c r="E169" s="2" t="s">
        <v>18</v>
      </c>
      <c r="F169" s="2" t="s">
        <v>20</v>
      </c>
      <c r="G169" s="7" t="n">
        <v>10</v>
      </c>
      <c r="H169" s="6" t="n">
        <v>221.69</v>
      </c>
      <c r="I169" s="6" t="n">
        <v>-2216.9</v>
      </c>
      <c r="J169" s="6" t="n">
        <v>0</v>
      </c>
      <c r="K169" s="6" t="n">
        <v>-6.65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45056.495578704</v>
      </c>
      <c r="B170" s="2" t="s">
        <v>17</v>
      </c>
      <c r="C170" s="2" t="s">
        <v>940</v>
      </c>
      <c r="D170" s="2" t="s">
        <v>757</v>
      </c>
      <c r="E170" s="2" t="s">
        <v>18</v>
      </c>
      <c r="F170" s="2" t="s">
        <v>20</v>
      </c>
      <c r="G170" s="7" t="n">
        <v>10</v>
      </c>
      <c r="H170" s="6" t="n">
        <v>221.65</v>
      </c>
      <c r="I170" s="6" t="n">
        <v>-2216.5</v>
      </c>
      <c r="J170" s="6" t="n">
        <v>0</v>
      </c>
      <c r="K170" s="6" t="n">
        <v>-6.65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0" t="n">
        <v>45056.500104167</v>
      </c>
      <c r="B171" s="2" t="s">
        <v>766</v>
      </c>
      <c r="C171" s="2" t="s">
        <v>963</v>
      </c>
      <c r="D171" s="2" t="s">
        <v>757</v>
      </c>
      <c r="E171" s="2" t="s">
        <v>96</v>
      </c>
      <c r="F171" s="2" t="s">
        <v>20</v>
      </c>
      <c r="G171" s="7" t="n">
        <v>1</v>
      </c>
      <c r="H171" s="6" t="n">
        <v>96.99</v>
      </c>
      <c r="I171" s="6" t="n">
        <v>-969.9</v>
      </c>
      <c r="J171" s="6" t="n">
        <v>-28.49</v>
      </c>
      <c r="K171" s="6" t="n">
        <v>-2.91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45061.400497685</v>
      </c>
      <c r="B172" s="22" t="s">
        <v>884</v>
      </c>
      <c r="C172" s="22" t="s">
        <v>336</v>
      </c>
      <c r="D172" s="22" t="s">
        <v>884</v>
      </c>
      <c r="E172" s="22" t="s">
        <v>884</v>
      </c>
      <c r="F172" s="22" t="s">
        <v>20</v>
      </c>
      <c r="G172" s="23" t="n">
        <v>1</v>
      </c>
      <c r="H172" s="24" t="n">
        <v>1</v>
      </c>
      <c r="I172" s="24" t="n">
        <v>801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1" t="n">
        <v>45061.406909722</v>
      </c>
      <c r="B173" s="22" t="s">
        <v>884</v>
      </c>
      <c r="C173" s="22" t="s">
        <v>336</v>
      </c>
      <c r="D173" s="22" t="s">
        <v>884</v>
      </c>
      <c r="E173" s="22" t="s">
        <v>884</v>
      </c>
      <c r="F173" s="22" t="s">
        <v>20</v>
      </c>
      <c r="G173" s="23" t="n">
        <v>1</v>
      </c>
      <c r="H173" s="24" t="n">
        <v>1</v>
      </c>
      <c r="I173" s="24" t="n">
        <v>2000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45061.608680556</v>
      </c>
      <c r="B174" s="2" t="s">
        <v>95</v>
      </c>
      <c r="C174" s="2" t="s">
        <v>893</v>
      </c>
      <c r="D174" s="2" t="s">
        <v>757</v>
      </c>
      <c r="E174" s="2" t="s">
        <v>96</v>
      </c>
      <c r="F174" s="2" t="s">
        <v>20</v>
      </c>
      <c r="G174" s="7" t="n">
        <v>1</v>
      </c>
      <c r="H174" s="6" t="n">
        <v>71.243</v>
      </c>
      <c r="I174" s="6" t="n">
        <v>-712.43</v>
      </c>
      <c r="J174" s="6" t="n">
        <v>-17.38</v>
      </c>
      <c r="K174" s="6" t="n">
        <v>-2.14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45061.612777778</v>
      </c>
      <c r="B175" s="2" t="s">
        <v>114</v>
      </c>
      <c r="C175" s="2" t="s">
        <v>964</v>
      </c>
      <c r="D175" s="2" t="s">
        <v>757</v>
      </c>
      <c r="E175" s="2" t="s">
        <v>96</v>
      </c>
      <c r="F175" s="2" t="s">
        <v>20</v>
      </c>
      <c r="G175" s="7" t="n">
        <v>1</v>
      </c>
      <c r="H175" s="6" t="n">
        <v>88.963</v>
      </c>
      <c r="I175" s="6" t="n">
        <v>-889.63</v>
      </c>
      <c r="J175" s="6" t="n">
        <v>-5.66</v>
      </c>
      <c r="K175" s="6" t="n">
        <v>-2.67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45061.6140625</v>
      </c>
      <c r="B176" s="2" t="s">
        <v>114</v>
      </c>
      <c r="C176" s="2" t="s">
        <v>964</v>
      </c>
      <c r="D176" s="2" t="s">
        <v>757</v>
      </c>
      <c r="E176" s="2" t="s">
        <v>96</v>
      </c>
      <c r="F176" s="2" t="s">
        <v>20</v>
      </c>
      <c r="G176" s="7" t="n">
        <v>1</v>
      </c>
      <c r="H176" s="6" t="n">
        <v>88.963</v>
      </c>
      <c r="I176" s="6" t="n">
        <v>-889.63</v>
      </c>
      <c r="J176" s="6" t="n">
        <v>-5.66</v>
      </c>
      <c r="K176" s="6" t="n">
        <v>-2.67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45064.552048611</v>
      </c>
      <c r="B177" s="22" t="s">
        <v>891</v>
      </c>
      <c r="C177" s="22" t="s">
        <v>930</v>
      </c>
      <c r="D177" s="22" t="s">
        <v>891</v>
      </c>
      <c r="E177" s="22" t="s">
        <v>891</v>
      </c>
      <c r="F177" s="22" t="s">
        <v>20</v>
      </c>
      <c r="G177" s="23" t="n">
        <v>1</v>
      </c>
      <c r="H177" s="24" t="n">
        <v>1</v>
      </c>
      <c r="I177" s="24" t="n">
        <v>153.63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1" t="n">
        <v>45065.64244213</v>
      </c>
      <c r="B178" s="22" t="s">
        <v>891</v>
      </c>
      <c r="C178" s="22" t="s">
        <v>916</v>
      </c>
      <c r="D178" s="22" t="s">
        <v>891</v>
      </c>
      <c r="E178" s="22" t="s">
        <v>891</v>
      </c>
      <c r="F178" s="22" t="s">
        <v>20</v>
      </c>
      <c r="G178" s="23" t="n">
        <v>1</v>
      </c>
      <c r="H178" s="24" t="n">
        <v>1</v>
      </c>
      <c r="I178" s="24" t="n">
        <v>60.58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5" t="n">
        <v>45065.64244213</v>
      </c>
      <c r="B179" s="26" t="s">
        <v>917</v>
      </c>
      <c r="C179" s="26" t="s">
        <v>918</v>
      </c>
      <c r="D179" s="26" t="s">
        <v>917</v>
      </c>
      <c r="E179" s="26" t="s">
        <v>917</v>
      </c>
      <c r="F179" s="26" t="s">
        <v>20</v>
      </c>
      <c r="G179" s="27" t="n">
        <v>1</v>
      </c>
      <c r="H179" s="28" t="n">
        <v>-8</v>
      </c>
      <c r="I179" s="28" t="n">
        <v>-8</v>
      </c>
      <c r="J179" s="28" t="n">
        <v>0</v>
      </c>
      <c r="K179" s="28" t="n">
        <v>0</v>
      </c>
      <c r="L179" s="28" t="n">
        <v>0</v>
      </c>
      <c r="M179" s="6" t="s">
        <f>=I179+J179+K179+L179</f>
      </c>
      <c r="N179" s="28"/>
      <c r="O179" s="26"/>
    </row>
    <row collapsed="false" customFormat="false" customHeight="false" hidden="false" ht="12.1" outlineLevel="0" r="180">
      <c r="A180" s="21" t="n">
        <v>45069.4671875</v>
      </c>
      <c r="B180" s="22" t="s">
        <v>891</v>
      </c>
      <c r="C180" s="22" t="s">
        <v>965</v>
      </c>
      <c r="D180" s="22" t="s">
        <v>891</v>
      </c>
      <c r="E180" s="22" t="s">
        <v>891</v>
      </c>
      <c r="F180" s="22" t="s">
        <v>20</v>
      </c>
      <c r="G180" s="23" t="n">
        <v>1</v>
      </c>
      <c r="H180" s="24" t="n">
        <v>1</v>
      </c>
      <c r="I180" s="24" t="n">
        <v>32.41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45071.470555556</v>
      </c>
      <c r="B181" s="22" t="s">
        <v>891</v>
      </c>
      <c r="C181" s="22" t="s">
        <v>892</v>
      </c>
      <c r="D181" s="22" t="s">
        <v>891</v>
      </c>
      <c r="E181" s="22" t="s">
        <v>891</v>
      </c>
      <c r="F181" s="22" t="s">
        <v>20</v>
      </c>
      <c r="G181" s="23" t="n">
        <v>1</v>
      </c>
      <c r="H181" s="24" t="n">
        <v>1</v>
      </c>
      <c r="I181" s="24" t="n">
        <v>10.72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45071.536481481</v>
      </c>
      <c r="B182" s="22" t="s">
        <v>891</v>
      </c>
      <c r="C182" s="22" t="s">
        <v>966</v>
      </c>
      <c r="D182" s="22" t="s">
        <v>891</v>
      </c>
      <c r="E182" s="22" t="s">
        <v>891</v>
      </c>
      <c r="F182" s="22" t="s">
        <v>20</v>
      </c>
      <c r="G182" s="23" t="n">
        <v>1</v>
      </c>
      <c r="H182" s="24" t="n">
        <v>1</v>
      </c>
      <c r="I182" s="24" t="n">
        <v>500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45071.536481481</v>
      </c>
      <c r="B183" s="26" t="s">
        <v>917</v>
      </c>
      <c r="C183" s="26" t="s">
        <v>967</v>
      </c>
      <c r="D183" s="26" t="s">
        <v>917</v>
      </c>
      <c r="E183" s="26" t="s">
        <v>917</v>
      </c>
      <c r="F183" s="26" t="s">
        <v>20</v>
      </c>
      <c r="G183" s="27" t="n">
        <v>1</v>
      </c>
      <c r="H183" s="28" t="n">
        <v>-65</v>
      </c>
      <c r="I183" s="28" t="n">
        <v>-65</v>
      </c>
      <c r="J183" s="28" t="n">
        <v>0</v>
      </c>
      <c r="K183" s="28" t="n">
        <v>0</v>
      </c>
      <c r="L183" s="28" t="n">
        <v>0</v>
      </c>
      <c r="M183" s="6" t="s">
        <f>=I183+J183+K183+L183</f>
      </c>
      <c r="N183" s="28"/>
      <c r="O183" s="26"/>
    </row>
    <row collapsed="false" customFormat="false" customHeight="false" hidden="false" ht="12.1" outlineLevel="0" r="184">
      <c r="A184" s="21" t="n">
        <v>45071.748969907</v>
      </c>
      <c r="B184" s="22" t="s">
        <v>891</v>
      </c>
      <c r="C184" s="22" t="s">
        <v>968</v>
      </c>
      <c r="D184" s="22" t="s">
        <v>891</v>
      </c>
      <c r="E184" s="22" t="s">
        <v>891</v>
      </c>
      <c r="F184" s="22" t="s">
        <v>20</v>
      </c>
      <c r="G184" s="23" t="n">
        <v>1</v>
      </c>
      <c r="H184" s="24" t="n">
        <v>1</v>
      </c>
      <c r="I184" s="24" t="n">
        <v>750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5" t="n">
        <v>45071.748969907</v>
      </c>
      <c r="B185" s="26" t="s">
        <v>917</v>
      </c>
      <c r="C185" s="26" t="s">
        <v>969</v>
      </c>
      <c r="D185" s="26" t="s">
        <v>917</v>
      </c>
      <c r="E185" s="26" t="s">
        <v>917</v>
      </c>
      <c r="F185" s="26" t="s">
        <v>20</v>
      </c>
      <c r="G185" s="27" t="n">
        <v>1</v>
      </c>
      <c r="H185" s="28" t="n">
        <v>-96</v>
      </c>
      <c r="I185" s="28" t="n">
        <v>-96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1" t="n">
        <v>45072.660949074</v>
      </c>
      <c r="B186" s="22" t="s">
        <v>891</v>
      </c>
      <c r="C186" s="22" t="s">
        <v>932</v>
      </c>
      <c r="D186" s="22" t="s">
        <v>891</v>
      </c>
      <c r="E186" s="22" t="s">
        <v>891</v>
      </c>
      <c r="F186" s="22" t="s">
        <v>20</v>
      </c>
      <c r="G186" s="23" t="n">
        <v>1</v>
      </c>
      <c r="H186" s="24" t="n">
        <v>1</v>
      </c>
      <c r="I186" s="24" t="n">
        <v>108.45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45072.758622685</v>
      </c>
      <c r="B187" s="22" t="s">
        <v>891</v>
      </c>
      <c r="C187" s="22" t="s">
        <v>970</v>
      </c>
      <c r="D187" s="22" t="s">
        <v>891</v>
      </c>
      <c r="E187" s="22" t="s">
        <v>891</v>
      </c>
      <c r="F187" s="22" t="s">
        <v>20</v>
      </c>
      <c r="G187" s="23" t="n">
        <v>1</v>
      </c>
      <c r="H187" s="24" t="n">
        <v>1</v>
      </c>
      <c r="I187" s="24" t="n">
        <v>10.83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45075.47875</v>
      </c>
      <c r="B188" s="2" t="s">
        <v>95</v>
      </c>
      <c r="C188" s="2" t="s">
        <v>893</v>
      </c>
      <c r="D188" s="2" t="s">
        <v>757</v>
      </c>
      <c r="E188" s="2" t="s">
        <v>96</v>
      </c>
      <c r="F188" s="2" t="s">
        <v>20</v>
      </c>
      <c r="G188" s="7" t="n">
        <v>1</v>
      </c>
      <c r="H188" s="6" t="n">
        <v>71.161</v>
      </c>
      <c r="I188" s="6" t="n">
        <v>-711.61</v>
      </c>
      <c r="J188" s="6" t="n">
        <v>-19.72</v>
      </c>
      <c r="K188" s="6" t="n">
        <v>-2.13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45075.479548611</v>
      </c>
      <c r="B189" s="2" t="s">
        <v>102</v>
      </c>
      <c r="C189" s="2" t="s">
        <v>935</v>
      </c>
      <c r="D189" s="2" t="s">
        <v>757</v>
      </c>
      <c r="E189" s="2" t="s">
        <v>96</v>
      </c>
      <c r="F189" s="2" t="s">
        <v>20</v>
      </c>
      <c r="G189" s="7" t="n">
        <v>1</v>
      </c>
      <c r="H189" s="6" t="n">
        <v>72.7</v>
      </c>
      <c r="I189" s="6" t="n">
        <v>-727</v>
      </c>
      <c r="J189" s="6" t="n">
        <v>-33.84</v>
      </c>
      <c r="K189" s="6" t="n">
        <v>-2.18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1" t="n">
        <v>45082.549675926</v>
      </c>
      <c r="B190" s="22" t="s">
        <v>891</v>
      </c>
      <c r="C190" s="22" t="s">
        <v>933</v>
      </c>
      <c r="D190" s="22" t="s">
        <v>891</v>
      </c>
      <c r="E190" s="22" t="s">
        <v>891</v>
      </c>
      <c r="F190" s="22" t="s">
        <v>20</v>
      </c>
      <c r="G190" s="23" t="n">
        <v>1</v>
      </c>
      <c r="H190" s="24" t="n">
        <v>1</v>
      </c>
      <c r="I190" s="24" t="n">
        <v>24.81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45082.671898148</v>
      </c>
      <c r="B191" s="22" t="s">
        <v>884</v>
      </c>
      <c r="C191" s="22" t="s">
        <v>336</v>
      </c>
      <c r="D191" s="22" t="s">
        <v>884</v>
      </c>
      <c r="E191" s="22" t="s">
        <v>884</v>
      </c>
      <c r="F191" s="22" t="s">
        <v>20</v>
      </c>
      <c r="G191" s="23" t="n">
        <v>1</v>
      </c>
      <c r="H191" s="24" t="n">
        <v>1</v>
      </c>
      <c r="I191" s="24" t="n">
        <v>6200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0" t="n">
        <v>45082.692372685</v>
      </c>
      <c r="B192" s="2" t="s">
        <v>186</v>
      </c>
      <c r="C192" s="2" t="s">
        <v>971</v>
      </c>
      <c r="D192" s="2" t="s">
        <v>757</v>
      </c>
      <c r="E192" s="2" t="s">
        <v>96</v>
      </c>
      <c r="F192" s="2" t="s">
        <v>20</v>
      </c>
      <c r="G192" s="7" t="n">
        <v>1</v>
      </c>
      <c r="H192" s="6" t="n">
        <v>91.99</v>
      </c>
      <c r="I192" s="6" t="n">
        <v>-919.9</v>
      </c>
      <c r="J192" s="6" t="n">
        <v>-32.48</v>
      </c>
      <c r="K192" s="6" t="n">
        <v>-2.76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45082.694375</v>
      </c>
      <c r="B193" s="2" t="s">
        <v>249</v>
      </c>
      <c r="C193" s="2" t="s">
        <v>972</v>
      </c>
      <c r="D193" s="2" t="s">
        <v>757</v>
      </c>
      <c r="E193" s="2" t="s">
        <v>96</v>
      </c>
      <c r="F193" s="2" t="s">
        <v>20</v>
      </c>
      <c r="G193" s="7" t="n">
        <v>1</v>
      </c>
      <c r="H193" s="6" t="n">
        <v>100</v>
      </c>
      <c r="I193" s="6" t="n">
        <v>-1000</v>
      </c>
      <c r="J193" s="6" t="n">
        <v>-30.91</v>
      </c>
      <c r="K193" s="6" t="n">
        <v>-3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45082.696134259</v>
      </c>
      <c r="B194" s="2" t="s">
        <v>288</v>
      </c>
      <c r="C194" s="2" t="s">
        <v>973</v>
      </c>
      <c r="D194" s="2" t="s">
        <v>757</v>
      </c>
      <c r="E194" s="2" t="s">
        <v>96</v>
      </c>
      <c r="F194" s="2" t="s">
        <v>20</v>
      </c>
      <c r="G194" s="7" t="n">
        <v>1</v>
      </c>
      <c r="H194" s="6" t="n">
        <v>93.390322580645</v>
      </c>
      <c r="I194" s="6" t="n">
        <v>-868.53</v>
      </c>
      <c r="J194" s="6" t="n">
        <v>-30.1</v>
      </c>
      <c r="K194" s="6" t="n">
        <v>-2.61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45082.697280093</v>
      </c>
      <c r="B195" s="2" t="s">
        <v>270</v>
      </c>
      <c r="C195" s="2" t="s">
        <v>974</v>
      </c>
      <c r="D195" s="2" t="s">
        <v>757</v>
      </c>
      <c r="E195" s="2" t="s">
        <v>96</v>
      </c>
      <c r="F195" s="2" t="s">
        <v>20</v>
      </c>
      <c r="G195" s="7" t="n">
        <v>1</v>
      </c>
      <c r="H195" s="6" t="n">
        <v>95.39</v>
      </c>
      <c r="I195" s="6" t="n">
        <v>-953.9</v>
      </c>
      <c r="J195" s="6" t="n">
        <v>-31.46</v>
      </c>
      <c r="K195" s="6" t="n">
        <v>-2.86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45082.698252315</v>
      </c>
      <c r="B196" s="2" t="s">
        <v>255</v>
      </c>
      <c r="C196" s="2" t="s">
        <v>975</v>
      </c>
      <c r="D196" s="2" t="s">
        <v>757</v>
      </c>
      <c r="E196" s="2" t="s">
        <v>96</v>
      </c>
      <c r="F196" s="2" t="s">
        <v>20</v>
      </c>
      <c r="G196" s="7" t="n">
        <v>1</v>
      </c>
      <c r="H196" s="6" t="n">
        <v>102.47</v>
      </c>
      <c r="I196" s="6" t="n">
        <v>-1024.7</v>
      </c>
      <c r="J196" s="6" t="n">
        <v>0</v>
      </c>
      <c r="K196" s="6" t="n">
        <v>-3.07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45082.70130787</v>
      </c>
      <c r="B197" s="2" t="s">
        <v>108</v>
      </c>
      <c r="C197" s="2" t="s">
        <v>938</v>
      </c>
      <c r="D197" s="2" t="s">
        <v>757</v>
      </c>
      <c r="E197" s="2" t="s">
        <v>96</v>
      </c>
      <c r="F197" s="2" t="s">
        <v>20</v>
      </c>
      <c r="G197" s="7" t="n">
        <v>2</v>
      </c>
      <c r="H197" s="6" t="n">
        <v>75.338</v>
      </c>
      <c r="I197" s="6" t="n">
        <v>-1506.76</v>
      </c>
      <c r="J197" s="6" t="n">
        <v>-42.58</v>
      </c>
      <c r="K197" s="6" t="n">
        <v>-4.52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1" t="n">
        <v>45085.353900463</v>
      </c>
      <c r="B198" s="22" t="s">
        <v>884</v>
      </c>
      <c r="C198" s="22" t="s">
        <v>336</v>
      </c>
      <c r="D198" s="22" t="s">
        <v>884</v>
      </c>
      <c r="E198" s="22" t="s">
        <v>884</v>
      </c>
      <c r="F198" s="22" t="s">
        <v>20</v>
      </c>
      <c r="G198" s="23" t="n">
        <v>1</v>
      </c>
      <c r="H198" s="24" t="n">
        <v>1</v>
      </c>
      <c r="I198" s="24" t="n">
        <v>5000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45085.443043981</v>
      </c>
      <c r="B199" s="2" t="s">
        <v>43</v>
      </c>
      <c r="C199" s="2" t="s">
        <v>976</v>
      </c>
      <c r="D199" s="2" t="s">
        <v>757</v>
      </c>
      <c r="E199" s="2" t="s">
        <v>18</v>
      </c>
      <c r="F199" s="2" t="s">
        <v>20</v>
      </c>
      <c r="G199" s="7" t="n">
        <v>100</v>
      </c>
      <c r="H199" s="6" t="n">
        <v>33.32</v>
      </c>
      <c r="I199" s="6" t="n">
        <v>-3332</v>
      </c>
      <c r="J199" s="6" t="n">
        <v>0</v>
      </c>
      <c r="K199" s="6" t="n">
        <v>-10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45085.497106481</v>
      </c>
      <c r="B200" s="2" t="s">
        <v>95</v>
      </c>
      <c r="C200" s="2" t="s">
        <v>893</v>
      </c>
      <c r="D200" s="2" t="s">
        <v>757</v>
      </c>
      <c r="E200" s="2" t="s">
        <v>96</v>
      </c>
      <c r="F200" s="2" t="s">
        <v>20</v>
      </c>
      <c r="G200" s="7" t="n">
        <v>2</v>
      </c>
      <c r="H200" s="6" t="n">
        <v>70.804</v>
      </c>
      <c r="I200" s="6" t="n">
        <v>-1416.08</v>
      </c>
      <c r="J200" s="6" t="n">
        <v>-42.78</v>
      </c>
      <c r="K200" s="6" t="n">
        <v>-4.25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45085.750104167</v>
      </c>
      <c r="B201" s="22" t="s">
        <v>891</v>
      </c>
      <c r="C201" s="22" t="s">
        <v>977</v>
      </c>
      <c r="D201" s="22" t="s">
        <v>891</v>
      </c>
      <c r="E201" s="22" t="s">
        <v>891</v>
      </c>
      <c r="F201" s="22" t="s">
        <v>20</v>
      </c>
      <c r="G201" s="23" t="n">
        <v>1</v>
      </c>
      <c r="H201" s="24" t="n">
        <v>1</v>
      </c>
      <c r="I201" s="24" t="n">
        <v>32.66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45085.755891204</v>
      </c>
      <c r="B202" s="22" t="s">
        <v>891</v>
      </c>
      <c r="C202" s="22" t="s">
        <v>934</v>
      </c>
      <c r="D202" s="22" t="s">
        <v>891</v>
      </c>
      <c r="E202" s="22" t="s">
        <v>891</v>
      </c>
      <c r="F202" s="22" t="s">
        <v>20</v>
      </c>
      <c r="G202" s="23" t="n">
        <v>1</v>
      </c>
      <c r="H202" s="24" t="n">
        <v>1</v>
      </c>
      <c r="I202" s="24" t="n">
        <v>19.87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45086.391006944</v>
      </c>
      <c r="B203" s="22" t="s">
        <v>891</v>
      </c>
      <c r="C203" s="22" t="s">
        <v>978</v>
      </c>
      <c r="D203" s="22" t="s">
        <v>891</v>
      </c>
      <c r="E203" s="22" t="s">
        <v>891</v>
      </c>
      <c r="F203" s="22" t="s">
        <v>20</v>
      </c>
      <c r="G203" s="23" t="n">
        <v>1</v>
      </c>
      <c r="H203" s="24" t="n">
        <v>1</v>
      </c>
      <c r="I203" s="24" t="n">
        <v>141.6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45091.364155093</v>
      </c>
      <c r="B204" s="22" t="s">
        <v>891</v>
      </c>
      <c r="C204" s="22" t="s">
        <v>979</v>
      </c>
      <c r="D204" s="22" t="s">
        <v>891</v>
      </c>
      <c r="E204" s="22" t="s">
        <v>891</v>
      </c>
      <c r="F204" s="22" t="s">
        <v>20</v>
      </c>
      <c r="G204" s="23" t="n">
        <v>1</v>
      </c>
      <c r="H204" s="24" t="n">
        <v>1</v>
      </c>
      <c r="I204" s="24" t="n">
        <v>31.3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1" t="n">
        <v>45091.369583333</v>
      </c>
      <c r="B205" s="22" t="s">
        <v>884</v>
      </c>
      <c r="C205" s="22" t="s">
        <v>336</v>
      </c>
      <c r="D205" s="22" t="s">
        <v>884</v>
      </c>
      <c r="E205" s="22" t="s">
        <v>884</v>
      </c>
      <c r="F205" s="22" t="s">
        <v>20</v>
      </c>
      <c r="G205" s="23" t="n">
        <v>1</v>
      </c>
      <c r="H205" s="24" t="n">
        <v>1</v>
      </c>
      <c r="I205" s="24" t="n">
        <v>710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4"/>
      <c r="O205" s="22"/>
    </row>
    <row collapsed="false" customFormat="false" customHeight="false" hidden="false" ht="12.1" outlineLevel="0" r="206">
      <c r="A206" s="20" t="n">
        <v>45091.452094907</v>
      </c>
      <c r="B206" s="2" t="s">
        <v>102</v>
      </c>
      <c r="C206" s="2" t="s">
        <v>935</v>
      </c>
      <c r="D206" s="2" t="s">
        <v>757</v>
      </c>
      <c r="E206" s="2" t="s">
        <v>96</v>
      </c>
      <c r="F206" s="2" t="s">
        <v>20</v>
      </c>
      <c r="G206" s="7" t="n">
        <v>1</v>
      </c>
      <c r="H206" s="6" t="n">
        <v>72.25</v>
      </c>
      <c r="I206" s="6" t="n">
        <v>-722.5</v>
      </c>
      <c r="J206" s="6" t="n">
        <v>-1.5599999999999</v>
      </c>
      <c r="K206" s="6" t="n">
        <v>-2.17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45091.666342593</v>
      </c>
      <c r="B207" s="22" t="s">
        <v>891</v>
      </c>
      <c r="C207" s="22" t="s">
        <v>980</v>
      </c>
      <c r="D207" s="22" t="s">
        <v>891</v>
      </c>
      <c r="E207" s="22" t="s">
        <v>891</v>
      </c>
      <c r="F207" s="22" t="s">
        <v>20</v>
      </c>
      <c r="G207" s="23" t="n">
        <v>1</v>
      </c>
      <c r="H207" s="24" t="n">
        <v>1</v>
      </c>
      <c r="I207" s="24" t="n">
        <v>113.46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5" t="n">
        <v>45091.666342593</v>
      </c>
      <c r="B208" s="26" t="s">
        <v>917</v>
      </c>
      <c r="C208" s="26" t="s">
        <v>981</v>
      </c>
      <c r="D208" s="26" t="s">
        <v>917</v>
      </c>
      <c r="E208" s="26" t="s">
        <v>917</v>
      </c>
      <c r="F208" s="26" t="s">
        <v>20</v>
      </c>
      <c r="G208" s="27" t="n">
        <v>1</v>
      </c>
      <c r="H208" s="28" t="n">
        <v>-15</v>
      </c>
      <c r="I208" s="28" t="n">
        <v>-15</v>
      </c>
      <c r="J208" s="28" t="n">
        <v>0</v>
      </c>
      <c r="K208" s="28" t="n">
        <v>0</v>
      </c>
      <c r="L208" s="28" t="n">
        <v>0</v>
      </c>
      <c r="M208" s="6" t="s">
        <f>=I208+J208+K208+L208</f>
      </c>
      <c r="N208" s="28"/>
      <c r="O208" s="26"/>
    </row>
    <row collapsed="false" customFormat="false" customHeight="false" hidden="false" ht="12.1" outlineLevel="0" r="209">
      <c r="A209" s="21" t="n">
        <v>45099.541446759</v>
      </c>
      <c r="B209" s="22" t="s">
        <v>891</v>
      </c>
      <c r="C209" s="22" t="s">
        <v>941</v>
      </c>
      <c r="D209" s="22" t="s">
        <v>891</v>
      </c>
      <c r="E209" s="22" t="s">
        <v>891</v>
      </c>
      <c r="F209" s="22" t="s">
        <v>20</v>
      </c>
      <c r="G209" s="23" t="n">
        <v>1</v>
      </c>
      <c r="H209" s="24" t="n">
        <v>1</v>
      </c>
      <c r="I209" s="24" t="n">
        <v>142.56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45104.514351852</v>
      </c>
      <c r="B210" s="22" t="s">
        <v>884</v>
      </c>
      <c r="C210" s="22" t="s">
        <v>336</v>
      </c>
      <c r="D210" s="22" t="s">
        <v>884</v>
      </c>
      <c r="E210" s="22" t="s">
        <v>884</v>
      </c>
      <c r="F210" s="22" t="s">
        <v>20</v>
      </c>
      <c r="G210" s="23" t="n">
        <v>1</v>
      </c>
      <c r="H210" s="24" t="n">
        <v>1</v>
      </c>
      <c r="I210" s="24" t="n">
        <v>6200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45104.601643519</v>
      </c>
      <c r="B211" s="2" t="s">
        <v>95</v>
      </c>
      <c r="C211" s="2" t="s">
        <v>893</v>
      </c>
      <c r="D211" s="2" t="s">
        <v>757</v>
      </c>
      <c r="E211" s="2" t="s">
        <v>96</v>
      </c>
      <c r="F211" s="2" t="s">
        <v>20</v>
      </c>
      <c r="G211" s="7" t="n">
        <v>2</v>
      </c>
      <c r="H211" s="6" t="n">
        <v>70.021</v>
      </c>
      <c r="I211" s="6" t="n">
        <v>-1400.42</v>
      </c>
      <c r="J211" s="6" t="n">
        <v>-49.14</v>
      </c>
      <c r="K211" s="6" t="n">
        <v>-4.2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45104.604328704</v>
      </c>
      <c r="B212" s="2" t="s">
        <v>80</v>
      </c>
      <c r="C212" s="2" t="s">
        <v>982</v>
      </c>
      <c r="D212" s="2" t="s">
        <v>757</v>
      </c>
      <c r="E212" s="2" t="s">
        <v>18</v>
      </c>
      <c r="F212" s="2" t="s">
        <v>20</v>
      </c>
      <c r="G212" s="7" t="n">
        <v>10000</v>
      </c>
      <c r="H212" s="6" t="n">
        <v>0.1001</v>
      </c>
      <c r="I212" s="6" t="n">
        <v>-1001</v>
      </c>
      <c r="J212" s="6" t="n">
        <v>0</v>
      </c>
      <c r="K212" s="6" t="n">
        <v>-3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45104.605428241</v>
      </c>
      <c r="B213" s="2" t="s">
        <v>54</v>
      </c>
      <c r="C213" s="2" t="s">
        <v>949</v>
      </c>
      <c r="D213" s="2" t="s">
        <v>757</v>
      </c>
      <c r="E213" s="2" t="s">
        <v>18</v>
      </c>
      <c r="F213" s="2" t="s">
        <v>20</v>
      </c>
      <c r="G213" s="7" t="n">
        <v>10</v>
      </c>
      <c r="H213" s="6" t="n">
        <v>41.88</v>
      </c>
      <c r="I213" s="6" t="n">
        <v>-418.8</v>
      </c>
      <c r="J213" s="6" t="n">
        <v>0</v>
      </c>
      <c r="K213" s="6" t="n">
        <v>-1.26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45104.606284722</v>
      </c>
      <c r="B214" s="2" t="s">
        <v>102</v>
      </c>
      <c r="C214" s="2" t="s">
        <v>935</v>
      </c>
      <c r="D214" s="2" t="s">
        <v>757</v>
      </c>
      <c r="E214" s="2" t="s">
        <v>96</v>
      </c>
      <c r="F214" s="2" t="s">
        <v>20</v>
      </c>
      <c r="G214" s="7" t="n">
        <v>2</v>
      </c>
      <c r="H214" s="6" t="n">
        <v>71.298</v>
      </c>
      <c r="I214" s="6" t="n">
        <v>-1425.96</v>
      </c>
      <c r="J214" s="6" t="n">
        <v>-8.1599999999999</v>
      </c>
      <c r="K214" s="6" t="n">
        <v>-4.28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45104.60662037</v>
      </c>
      <c r="B215" s="2" t="s">
        <v>108</v>
      </c>
      <c r="C215" s="2" t="s">
        <v>938</v>
      </c>
      <c r="D215" s="2" t="s">
        <v>757</v>
      </c>
      <c r="E215" s="2" t="s">
        <v>96</v>
      </c>
      <c r="F215" s="2" t="s">
        <v>20</v>
      </c>
      <c r="G215" s="7" t="n">
        <v>2</v>
      </c>
      <c r="H215" s="6" t="n">
        <v>74.29</v>
      </c>
      <c r="I215" s="6" t="n">
        <v>-1485.8</v>
      </c>
      <c r="J215" s="6" t="n">
        <v>-51</v>
      </c>
      <c r="K215" s="6" t="n">
        <v>-4.46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45104.608148148</v>
      </c>
      <c r="B216" s="2" t="s">
        <v>63</v>
      </c>
      <c r="C216" s="2" t="s">
        <v>962</v>
      </c>
      <c r="D216" s="2" t="s">
        <v>757</v>
      </c>
      <c r="E216" s="2" t="s">
        <v>18</v>
      </c>
      <c r="F216" s="2" t="s">
        <v>20</v>
      </c>
      <c r="G216" s="7" t="n">
        <v>10</v>
      </c>
      <c r="H216" s="6" t="n">
        <v>72.6</v>
      </c>
      <c r="I216" s="6" t="n">
        <v>-726</v>
      </c>
      <c r="J216" s="6" t="n">
        <v>0</v>
      </c>
      <c r="K216" s="6" t="n">
        <v>-2.18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45107.707291667</v>
      </c>
      <c r="B217" s="22" t="s">
        <v>891</v>
      </c>
      <c r="C217" s="22" t="s">
        <v>983</v>
      </c>
      <c r="D217" s="22" t="s">
        <v>891</v>
      </c>
      <c r="E217" s="22" t="s">
        <v>891</v>
      </c>
      <c r="F217" s="22" t="s">
        <v>20</v>
      </c>
      <c r="G217" s="23" t="n">
        <v>1</v>
      </c>
      <c r="H217" s="24" t="n">
        <v>1</v>
      </c>
      <c r="I217" s="24" t="n">
        <v>48.4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5" t="n">
        <v>45107.707291667</v>
      </c>
      <c r="B218" s="26" t="s">
        <v>917</v>
      </c>
      <c r="C218" s="26" t="s">
        <v>984</v>
      </c>
      <c r="D218" s="26" t="s">
        <v>917</v>
      </c>
      <c r="E218" s="26" t="s">
        <v>917</v>
      </c>
      <c r="F218" s="26" t="s">
        <v>20</v>
      </c>
      <c r="G218" s="27" t="n">
        <v>1</v>
      </c>
      <c r="H218" s="28" t="n">
        <v>-6</v>
      </c>
      <c r="I218" s="28" t="n">
        <v>-6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8"/>
      <c r="O218" s="26"/>
    </row>
    <row collapsed="false" customFormat="false" customHeight="false" hidden="false" ht="12.1" outlineLevel="0" r="219">
      <c r="A219" s="21" t="n">
        <v>45113.942280093</v>
      </c>
      <c r="B219" s="22" t="s">
        <v>884</v>
      </c>
      <c r="C219" s="22" t="s">
        <v>336</v>
      </c>
      <c r="D219" s="22" t="s">
        <v>884</v>
      </c>
      <c r="E219" s="22" t="s">
        <v>884</v>
      </c>
      <c r="F219" s="22" t="s">
        <v>20</v>
      </c>
      <c r="G219" s="23" t="n">
        <v>1</v>
      </c>
      <c r="H219" s="24" t="n">
        <v>1</v>
      </c>
      <c r="I219" s="24" t="n">
        <v>5000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45114.422372685</v>
      </c>
      <c r="B220" s="22" t="s">
        <v>891</v>
      </c>
      <c r="C220" s="22" t="s">
        <v>900</v>
      </c>
      <c r="D220" s="22" t="s">
        <v>891</v>
      </c>
      <c r="E220" s="22" t="s">
        <v>891</v>
      </c>
      <c r="F220" s="22" t="s">
        <v>20</v>
      </c>
      <c r="G220" s="23" t="n">
        <v>1</v>
      </c>
      <c r="H220" s="24" t="n">
        <v>1</v>
      </c>
      <c r="I220" s="24" t="n">
        <v>20.94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45114.427546296</v>
      </c>
      <c r="B221" s="22" t="s">
        <v>901</v>
      </c>
      <c r="C221" s="22" t="s">
        <v>902</v>
      </c>
      <c r="D221" s="22" t="s">
        <v>901</v>
      </c>
      <c r="E221" s="22" t="s">
        <v>901</v>
      </c>
      <c r="F221" s="22" t="s">
        <v>20</v>
      </c>
      <c r="G221" s="23" t="n">
        <v>1</v>
      </c>
      <c r="H221" s="24" t="n">
        <v>1</v>
      </c>
      <c r="I221" s="24" t="n">
        <v>200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45114.45244213</v>
      </c>
      <c r="B222" s="2" t="s">
        <v>95</v>
      </c>
      <c r="C222" s="2" t="s">
        <v>893</v>
      </c>
      <c r="D222" s="2" t="s">
        <v>757</v>
      </c>
      <c r="E222" s="2" t="s">
        <v>96</v>
      </c>
      <c r="F222" s="2" t="s">
        <v>20</v>
      </c>
      <c r="G222" s="7" t="n">
        <v>2</v>
      </c>
      <c r="H222" s="6" t="n">
        <v>69.6</v>
      </c>
      <c r="I222" s="6" t="n">
        <v>-1392</v>
      </c>
      <c r="J222" s="6" t="n">
        <v>-53.16</v>
      </c>
      <c r="K222" s="6" t="n">
        <v>-4.18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45114.452893519</v>
      </c>
      <c r="B223" s="2" t="s">
        <v>150</v>
      </c>
      <c r="C223" s="2" t="s">
        <v>959</v>
      </c>
      <c r="D223" s="2" t="s">
        <v>757</v>
      </c>
      <c r="E223" s="2" t="s">
        <v>96</v>
      </c>
      <c r="F223" s="2" t="s">
        <v>20</v>
      </c>
      <c r="G223" s="7" t="n">
        <v>2</v>
      </c>
      <c r="H223" s="6" t="n">
        <v>81.489784923957</v>
      </c>
      <c r="I223" s="6" t="n">
        <v>-1966.43</v>
      </c>
      <c r="J223" s="6" t="n">
        <v>-16.38</v>
      </c>
      <c r="K223" s="6" t="n">
        <v>-5.9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45114.45306713</v>
      </c>
      <c r="B224" s="2" t="s">
        <v>153</v>
      </c>
      <c r="C224" s="2" t="s">
        <v>955</v>
      </c>
      <c r="D224" s="2" t="s">
        <v>757</v>
      </c>
      <c r="E224" s="2" t="s">
        <v>96</v>
      </c>
      <c r="F224" s="2" t="s">
        <v>20</v>
      </c>
      <c r="G224" s="7" t="n">
        <v>1</v>
      </c>
      <c r="H224" s="6" t="n">
        <v>81.910937622207</v>
      </c>
      <c r="I224" s="6" t="n">
        <v>-1152.02</v>
      </c>
      <c r="J224" s="6" t="n">
        <v>-8.4100000000001</v>
      </c>
      <c r="K224" s="6" t="n">
        <v>-3.46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0" t="n">
        <v>45114.45443287</v>
      </c>
      <c r="B225" s="2" t="s">
        <v>766</v>
      </c>
      <c r="C225" s="2" t="s">
        <v>963</v>
      </c>
      <c r="D225" s="2" t="s">
        <v>757</v>
      </c>
      <c r="E225" s="2" t="s">
        <v>96</v>
      </c>
      <c r="F225" s="2" t="s">
        <v>20</v>
      </c>
      <c r="G225" s="7" t="n">
        <v>1</v>
      </c>
      <c r="H225" s="6" t="n">
        <v>96.95</v>
      </c>
      <c r="I225" s="6" t="n">
        <v>-969.5</v>
      </c>
      <c r="J225" s="6" t="n">
        <v>-17.45</v>
      </c>
      <c r="K225" s="6" t="n">
        <v>-2.91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1" t="n">
        <v>45124.484224537</v>
      </c>
      <c r="B226" s="22" t="s">
        <v>884</v>
      </c>
      <c r="C226" s="22" t="s">
        <v>336</v>
      </c>
      <c r="D226" s="22" t="s">
        <v>884</v>
      </c>
      <c r="E226" s="22" t="s">
        <v>884</v>
      </c>
      <c r="F226" s="22" t="s">
        <v>20</v>
      </c>
      <c r="G226" s="23" t="n">
        <v>1</v>
      </c>
      <c r="H226" s="24" t="n">
        <v>1</v>
      </c>
      <c r="I226" s="24" t="n">
        <v>952.2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45124.505358796</v>
      </c>
      <c r="B227" s="2" t="s">
        <v>767</v>
      </c>
      <c r="C227" s="2" t="s">
        <v>985</v>
      </c>
      <c r="D227" s="2" t="s">
        <v>757</v>
      </c>
      <c r="E227" s="2" t="s">
        <v>18</v>
      </c>
      <c r="F227" s="2" t="s">
        <v>20</v>
      </c>
      <c r="G227" s="7" t="n">
        <v>100</v>
      </c>
      <c r="H227" s="6" t="n">
        <v>6.168</v>
      </c>
      <c r="I227" s="6" t="n">
        <v>-616.8</v>
      </c>
      <c r="J227" s="6" t="n">
        <v>0</v>
      </c>
      <c r="K227" s="6" t="n">
        <v>-1.85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45133.585532407</v>
      </c>
      <c r="B228" s="22" t="s">
        <v>891</v>
      </c>
      <c r="C228" s="22" t="s">
        <v>986</v>
      </c>
      <c r="D228" s="22" t="s">
        <v>891</v>
      </c>
      <c r="E228" s="22" t="s">
        <v>891</v>
      </c>
      <c r="F228" s="22" t="s">
        <v>20</v>
      </c>
      <c r="G228" s="23" t="n">
        <v>1</v>
      </c>
      <c r="H228" s="24" t="n">
        <v>1</v>
      </c>
      <c r="I228" s="24" t="n">
        <v>50.26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5" t="n">
        <v>45133.585532407</v>
      </c>
      <c r="B229" s="26" t="s">
        <v>917</v>
      </c>
      <c r="C229" s="26" t="s">
        <v>987</v>
      </c>
      <c r="D229" s="26" t="s">
        <v>917</v>
      </c>
      <c r="E229" s="26" t="s">
        <v>917</v>
      </c>
      <c r="F229" s="26" t="s">
        <v>20</v>
      </c>
      <c r="G229" s="27" t="n">
        <v>1</v>
      </c>
      <c r="H229" s="28" t="n">
        <v>-7</v>
      </c>
      <c r="I229" s="28" t="n">
        <v>-7</v>
      </c>
      <c r="J229" s="28" t="n">
        <v>0</v>
      </c>
      <c r="K229" s="28" t="n">
        <v>0</v>
      </c>
      <c r="L229" s="28" t="n">
        <v>0</v>
      </c>
      <c r="M229" s="6" t="s">
        <f>=I229+J229+K229+L229</f>
      </c>
      <c r="N229" s="28"/>
      <c r="O229" s="26"/>
    </row>
    <row collapsed="false" customFormat="false" customHeight="false" hidden="false" ht="12.1" outlineLevel="0" r="230">
      <c r="A230" s="21" t="n">
        <v>45134.634351852</v>
      </c>
      <c r="B230" s="22" t="s">
        <v>891</v>
      </c>
      <c r="C230" s="22" t="s">
        <v>923</v>
      </c>
      <c r="D230" s="22" t="s">
        <v>891</v>
      </c>
      <c r="E230" s="22" t="s">
        <v>891</v>
      </c>
      <c r="F230" s="22" t="s">
        <v>20</v>
      </c>
      <c r="G230" s="23" t="n">
        <v>1</v>
      </c>
      <c r="H230" s="24" t="n">
        <v>1</v>
      </c>
      <c r="I230" s="24" t="n">
        <v>27.71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4"/>
      <c r="O230" s="22"/>
    </row>
    <row collapsed="false" customFormat="false" customHeight="false" hidden="false" ht="12.1" outlineLevel="0" r="231">
      <c r="A231" s="25" t="n">
        <v>45134.634351852</v>
      </c>
      <c r="B231" s="26" t="s">
        <v>917</v>
      </c>
      <c r="C231" s="26" t="s">
        <v>922</v>
      </c>
      <c r="D231" s="26" t="s">
        <v>917</v>
      </c>
      <c r="E231" s="26" t="s">
        <v>917</v>
      </c>
      <c r="F231" s="26" t="s">
        <v>20</v>
      </c>
      <c r="G231" s="27" t="n">
        <v>1</v>
      </c>
      <c r="H231" s="28" t="n">
        <v>-3</v>
      </c>
      <c r="I231" s="28" t="n">
        <v>-3</v>
      </c>
      <c r="J231" s="28" t="n">
        <v>0</v>
      </c>
      <c r="K231" s="28" t="n">
        <v>0</v>
      </c>
      <c r="L231" s="28" t="n">
        <v>0</v>
      </c>
      <c r="M231" s="6" t="s">
        <f>=I231+J231+K231+L231</f>
      </c>
      <c r="N231" s="28"/>
      <c r="O231" s="26"/>
    </row>
    <row collapsed="false" customFormat="false" customHeight="false" hidden="false" ht="12.1" outlineLevel="0" r="232">
      <c r="A232" s="21" t="n">
        <v>45135.731770833</v>
      </c>
      <c r="B232" s="22" t="s">
        <v>891</v>
      </c>
      <c r="C232" s="22" t="s">
        <v>988</v>
      </c>
      <c r="D232" s="22" t="s">
        <v>891</v>
      </c>
      <c r="E232" s="22" t="s">
        <v>891</v>
      </c>
      <c r="F232" s="22" t="s">
        <v>20</v>
      </c>
      <c r="G232" s="23" t="n">
        <v>1</v>
      </c>
      <c r="H232" s="24" t="n">
        <v>1</v>
      </c>
      <c r="I232" s="24" t="n">
        <v>43.38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2"/>
    </row>
    <row collapsed="false" customFormat="false" customHeight="false" hidden="false" ht="12.1" outlineLevel="0" r="233">
      <c r="A233" s="21" t="n">
        <v>45135.755277778</v>
      </c>
      <c r="B233" s="22" t="s">
        <v>891</v>
      </c>
      <c r="C233" s="22" t="s">
        <v>908</v>
      </c>
      <c r="D233" s="22" t="s">
        <v>891</v>
      </c>
      <c r="E233" s="22" t="s">
        <v>891</v>
      </c>
      <c r="F233" s="22" t="s">
        <v>20</v>
      </c>
      <c r="G233" s="23" t="n">
        <v>1</v>
      </c>
      <c r="H233" s="24" t="n">
        <v>1</v>
      </c>
      <c r="I233" s="24" t="n">
        <v>18.18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1" t="n">
        <v>45141.766342593</v>
      </c>
      <c r="B234" s="22" t="s">
        <v>891</v>
      </c>
      <c r="C234" s="22" t="s">
        <v>989</v>
      </c>
      <c r="D234" s="22" t="s">
        <v>891</v>
      </c>
      <c r="E234" s="22" t="s">
        <v>891</v>
      </c>
      <c r="F234" s="22" t="s">
        <v>20</v>
      </c>
      <c r="G234" s="23" t="n">
        <v>1</v>
      </c>
      <c r="H234" s="24" t="n">
        <v>1</v>
      </c>
      <c r="I234" s="24" t="n">
        <v>41</v>
      </c>
      <c r="J234" s="24" t="n">
        <v>0</v>
      </c>
      <c r="K234" s="24" t="n">
        <v>0</v>
      </c>
      <c r="L234" s="24" t="n">
        <v>0</v>
      </c>
      <c r="M234" s="6" t="s">
        <f>=I234+J234+K234+L234</f>
      </c>
      <c r="N234" s="24"/>
      <c r="O234" s="22"/>
    </row>
    <row collapsed="false" customFormat="false" customHeight="false" hidden="false" ht="12.1" outlineLevel="0" r="235">
      <c r="A235" s="25" t="n">
        <v>45141.766342593</v>
      </c>
      <c r="B235" s="26" t="s">
        <v>917</v>
      </c>
      <c r="C235" s="26" t="s">
        <v>990</v>
      </c>
      <c r="D235" s="26" t="s">
        <v>917</v>
      </c>
      <c r="E235" s="26" t="s">
        <v>917</v>
      </c>
      <c r="F235" s="26" t="s">
        <v>20</v>
      </c>
      <c r="G235" s="27" t="n">
        <v>1</v>
      </c>
      <c r="H235" s="28" t="n">
        <v>-1</v>
      </c>
      <c r="I235" s="28" t="n">
        <v>-1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1" t="n">
        <v>45142.377569444</v>
      </c>
      <c r="B236" s="22" t="s">
        <v>891</v>
      </c>
      <c r="C236" s="22" t="s">
        <v>945</v>
      </c>
      <c r="D236" s="22" t="s">
        <v>891</v>
      </c>
      <c r="E236" s="22" t="s">
        <v>891</v>
      </c>
      <c r="F236" s="22" t="s">
        <v>20</v>
      </c>
      <c r="G236" s="23" t="n">
        <v>1</v>
      </c>
      <c r="H236" s="24" t="n">
        <v>1</v>
      </c>
      <c r="I236" s="24" t="n">
        <v>28.22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1" t="n">
        <v>45142.502164352</v>
      </c>
      <c r="B237" s="22" t="s">
        <v>891</v>
      </c>
      <c r="C237" s="22" t="s">
        <v>946</v>
      </c>
      <c r="D237" s="22" t="s">
        <v>891</v>
      </c>
      <c r="E237" s="22" t="s">
        <v>891</v>
      </c>
      <c r="F237" s="22" t="s">
        <v>20</v>
      </c>
      <c r="G237" s="23" t="n">
        <v>1</v>
      </c>
      <c r="H237" s="24" t="n">
        <v>1</v>
      </c>
      <c r="I237" s="24" t="n">
        <v>43.53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1" t="n">
        <v>45142.532604167</v>
      </c>
      <c r="B238" s="22" t="s">
        <v>891</v>
      </c>
      <c r="C238" s="22" t="s">
        <v>991</v>
      </c>
      <c r="D238" s="22" t="s">
        <v>891</v>
      </c>
      <c r="E238" s="22" t="s">
        <v>891</v>
      </c>
      <c r="F238" s="22" t="s">
        <v>20</v>
      </c>
      <c r="G238" s="23" t="n">
        <v>1</v>
      </c>
      <c r="H238" s="24" t="n">
        <v>1</v>
      </c>
      <c r="I238" s="24" t="n">
        <v>80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5" t="n">
        <v>45142.532604167</v>
      </c>
      <c r="B239" s="26" t="s">
        <v>917</v>
      </c>
      <c r="C239" s="26" t="s">
        <v>992</v>
      </c>
      <c r="D239" s="26" t="s">
        <v>917</v>
      </c>
      <c r="E239" s="26" t="s">
        <v>917</v>
      </c>
      <c r="F239" s="26" t="s">
        <v>20</v>
      </c>
      <c r="G239" s="27" t="n">
        <v>1</v>
      </c>
      <c r="H239" s="28" t="n">
        <v>-11</v>
      </c>
      <c r="I239" s="28" t="n">
        <v>-11</v>
      </c>
      <c r="J239" s="28" t="n">
        <v>0</v>
      </c>
      <c r="K239" s="28" t="n">
        <v>0</v>
      </c>
      <c r="L239" s="28" t="n">
        <v>0</v>
      </c>
      <c r="M239" s="6" t="s">
        <f>=I239+J239+K239+L239</f>
      </c>
      <c r="N239" s="28"/>
      <c r="O239" s="26"/>
    </row>
    <row collapsed="false" customFormat="false" customHeight="false" hidden="false" ht="12.1" outlineLevel="0" r="240">
      <c r="A240" s="21" t="n">
        <v>45142.57212963</v>
      </c>
      <c r="B240" s="22" t="s">
        <v>891</v>
      </c>
      <c r="C240" s="22" t="s">
        <v>909</v>
      </c>
      <c r="D240" s="22" t="s">
        <v>891</v>
      </c>
      <c r="E240" s="22" t="s">
        <v>891</v>
      </c>
      <c r="F240" s="22" t="s">
        <v>20</v>
      </c>
      <c r="G240" s="23" t="n">
        <v>1</v>
      </c>
      <c r="H240" s="24" t="n">
        <v>1</v>
      </c>
      <c r="I240" s="24" t="n">
        <v>304.2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2"/>
    </row>
    <row collapsed="false" customFormat="false" customHeight="false" hidden="false" ht="12.1" outlineLevel="0" r="241">
      <c r="A241" s="21" t="n">
        <v>45142.611886574</v>
      </c>
      <c r="B241" s="22" t="s">
        <v>891</v>
      </c>
      <c r="C241" s="22" t="s">
        <v>993</v>
      </c>
      <c r="D241" s="22" t="s">
        <v>891</v>
      </c>
      <c r="E241" s="22" t="s">
        <v>891</v>
      </c>
      <c r="F241" s="22" t="s">
        <v>20</v>
      </c>
      <c r="G241" s="23" t="n">
        <v>1</v>
      </c>
      <c r="H241" s="24" t="n">
        <v>1</v>
      </c>
      <c r="I241" s="24" t="n">
        <v>80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2"/>
    </row>
    <row collapsed="false" customFormat="false" customHeight="false" hidden="false" ht="12.1" outlineLevel="0" r="242">
      <c r="A242" s="25" t="n">
        <v>45142.611886574</v>
      </c>
      <c r="B242" s="26" t="s">
        <v>917</v>
      </c>
      <c r="C242" s="26" t="s">
        <v>994</v>
      </c>
      <c r="D242" s="26" t="s">
        <v>917</v>
      </c>
      <c r="E242" s="26" t="s">
        <v>917</v>
      </c>
      <c r="F242" s="26" t="s">
        <v>20</v>
      </c>
      <c r="G242" s="27" t="n">
        <v>1</v>
      </c>
      <c r="H242" s="28" t="n">
        <v>-10</v>
      </c>
      <c r="I242" s="28" t="n">
        <v>-10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8"/>
      <c r="O242" s="26"/>
    </row>
    <row collapsed="false" customFormat="false" customHeight="false" hidden="false" ht="12.1" outlineLevel="0" r="243">
      <c r="A243" s="20" t="n">
        <v>45146.503483796</v>
      </c>
      <c r="B243" s="2" t="s">
        <v>150</v>
      </c>
      <c r="C243" s="2" t="s">
        <v>959</v>
      </c>
      <c r="D243" s="2" t="s">
        <v>757</v>
      </c>
      <c r="E243" s="2" t="s">
        <v>96</v>
      </c>
      <c r="F243" s="2" t="s">
        <v>20</v>
      </c>
      <c r="G243" s="7" t="n">
        <v>1</v>
      </c>
      <c r="H243" s="6" t="n">
        <v>81.346815299822</v>
      </c>
      <c r="I243" s="6" t="n">
        <v>-981.49</v>
      </c>
      <c r="J243" s="6" t="n">
        <v>-10.33</v>
      </c>
      <c r="K243" s="6" t="n">
        <v>-2.94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1" t="n">
        <v>45146.938344907</v>
      </c>
      <c r="B244" s="22" t="s">
        <v>884</v>
      </c>
      <c r="C244" s="22" t="s">
        <v>336</v>
      </c>
      <c r="D244" s="22" t="s">
        <v>884</v>
      </c>
      <c r="E244" s="22" t="s">
        <v>884</v>
      </c>
      <c r="F244" s="22" t="s">
        <v>20</v>
      </c>
      <c r="G244" s="23" t="n">
        <v>1</v>
      </c>
      <c r="H244" s="24" t="n">
        <v>1</v>
      </c>
      <c r="I244" s="24" t="n">
        <v>11000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2"/>
    </row>
    <row collapsed="false" customFormat="false" customHeight="false" hidden="false" ht="12.1" outlineLevel="0" r="245">
      <c r="A245" s="21" t="n">
        <v>45147.463553241</v>
      </c>
      <c r="B245" s="22" t="s">
        <v>891</v>
      </c>
      <c r="C245" s="22" t="s">
        <v>947</v>
      </c>
      <c r="D245" s="22" t="s">
        <v>891</v>
      </c>
      <c r="E245" s="22" t="s">
        <v>891</v>
      </c>
      <c r="F245" s="22" t="s">
        <v>20</v>
      </c>
      <c r="G245" s="23" t="n">
        <v>1</v>
      </c>
      <c r="H245" s="24" t="n">
        <v>1</v>
      </c>
      <c r="I245" s="24" t="n">
        <v>53.1</v>
      </c>
      <c r="J245" s="24" t="n">
        <v>0</v>
      </c>
      <c r="K245" s="24" t="n">
        <v>0</v>
      </c>
      <c r="L245" s="24" t="n">
        <v>0</v>
      </c>
      <c r="M245" s="6" t="s">
        <f>=I245+J245+K245+L245</f>
      </c>
      <c r="N245" s="24"/>
      <c r="O245" s="22"/>
    </row>
    <row collapsed="false" customFormat="false" customHeight="false" hidden="false" ht="12.1" outlineLevel="0" r="246">
      <c r="A246" s="20" t="n">
        <v>45147.53005787</v>
      </c>
      <c r="B246" s="2" t="s">
        <v>117</v>
      </c>
      <c r="C246" s="2" t="s">
        <v>889</v>
      </c>
      <c r="D246" s="2" t="s">
        <v>757</v>
      </c>
      <c r="E246" s="2" t="s">
        <v>96</v>
      </c>
      <c r="F246" s="2" t="s">
        <v>20</v>
      </c>
      <c r="G246" s="7" t="n">
        <v>2</v>
      </c>
      <c r="H246" s="6" t="n">
        <v>75.919</v>
      </c>
      <c r="I246" s="6" t="n">
        <v>-1518.38</v>
      </c>
      <c r="J246" s="6" t="n">
        <v>-45.58</v>
      </c>
      <c r="K246" s="6" t="n">
        <v>-4.56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45147.530451389</v>
      </c>
      <c r="B247" s="2" t="s">
        <v>95</v>
      </c>
      <c r="C247" s="2" t="s">
        <v>893</v>
      </c>
      <c r="D247" s="2" t="s">
        <v>757</v>
      </c>
      <c r="E247" s="2" t="s">
        <v>96</v>
      </c>
      <c r="F247" s="2" t="s">
        <v>20</v>
      </c>
      <c r="G247" s="7" t="n">
        <v>2</v>
      </c>
      <c r="H247" s="6" t="n">
        <v>68.719</v>
      </c>
      <c r="I247" s="6" t="n">
        <v>-1374.38</v>
      </c>
      <c r="J247" s="6" t="n">
        <v>-2.6799999999998</v>
      </c>
      <c r="K247" s="6" t="n">
        <v>-4.12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45147.533842593</v>
      </c>
      <c r="B248" s="2" t="s">
        <v>120</v>
      </c>
      <c r="C248" s="2" t="s">
        <v>995</v>
      </c>
      <c r="D248" s="2" t="s">
        <v>757</v>
      </c>
      <c r="E248" s="2" t="s">
        <v>96</v>
      </c>
      <c r="F248" s="2" t="s">
        <v>20</v>
      </c>
      <c r="G248" s="7" t="n">
        <v>3</v>
      </c>
      <c r="H248" s="6" t="n">
        <v>92.301</v>
      </c>
      <c r="I248" s="6" t="n">
        <v>-2769.03</v>
      </c>
      <c r="J248" s="6" t="n">
        <v>-40.29</v>
      </c>
      <c r="K248" s="6" t="n">
        <v>-8.31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45147.534236111</v>
      </c>
      <c r="B249" s="2" t="s">
        <v>237</v>
      </c>
      <c r="C249" s="2" t="s">
        <v>996</v>
      </c>
      <c r="D249" s="2" t="s">
        <v>757</v>
      </c>
      <c r="E249" s="2" t="s">
        <v>96</v>
      </c>
      <c r="F249" s="2" t="s">
        <v>20</v>
      </c>
      <c r="G249" s="7" t="n">
        <v>1</v>
      </c>
      <c r="H249" s="6" t="n">
        <v>100.63</v>
      </c>
      <c r="I249" s="6" t="n">
        <v>-1006.3</v>
      </c>
      <c r="J249" s="6" t="n">
        <v>-4.0300000000001</v>
      </c>
      <c r="K249" s="6" t="n">
        <v>-3.02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45147.534618056</v>
      </c>
      <c r="B250" s="2" t="s">
        <v>768</v>
      </c>
      <c r="C250" s="2" t="s">
        <v>997</v>
      </c>
      <c r="D250" s="2" t="s">
        <v>757</v>
      </c>
      <c r="E250" s="2" t="s">
        <v>96</v>
      </c>
      <c r="F250" s="2" t="s">
        <v>20</v>
      </c>
      <c r="G250" s="7" t="n">
        <v>1</v>
      </c>
      <c r="H250" s="6" t="n">
        <v>97.9</v>
      </c>
      <c r="I250" s="6" t="n">
        <v>-979</v>
      </c>
      <c r="J250" s="6" t="n">
        <v>-3.37</v>
      </c>
      <c r="K250" s="6" t="n">
        <v>-2.94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45147.535266204</v>
      </c>
      <c r="B251" s="2" t="s">
        <v>183</v>
      </c>
      <c r="C251" s="2" t="s">
        <v>998</v>
      </c>
      <c r="D251" s="2" t="s">
        <v>757</v>
      </c>
      <c r="E251" s="2" t="s">
        <v>96</v>
      </c>
      <c r="F251" s="2" t="s">
        <v>20</v>
      </c>
      <c r="G251" s="7" t="n">
        <v>2</v>
      </c>
      <c r="H251" s="6" t="n">
        <v>100.74</v>
      </c>
      <c r="I251" s="6" t="n">
        <v>-2014.8</v>
      </c>
      <c r="J251" s="6" t="n">
        <v>-10.16</v>
      </c>
      <c r="K251" s="6" t="n">
        <v>-6.04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45147.535428241</v>
      </c>
      <c r="B252" s="2" t="s">
        <v>769</v>
      </c>
      <c r="C252" s="2" t="s">
        <v>999</v>
      </c>
      <c r="D252" s="2" t="s">
        <v>757</v>
      </c>
      <c r="E252" s="2" t="s">
        <v>96</v>
      </c>
      <c r="F252" s="2" t="s">
        <v>20</v>
      </c>
      <c r="G252" s="7" t="n">
        <v>1</v>
      </c>
      <c r="H252" s="6" t="n">
        <v>98.8</v>
      </c>
      <c r="I252" s="6" t="n">
        <v>-815.1</v>
      </c>
      <c r="J252" s="6" t="n">
        <v>-10.44</v>
      </c>
      <c r="K252" s="6" t="n">
        <v>-2.45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1" t="n">
        <v>45152.882280093</v>
      </c>
      <c r="B253" s="22" t="s">
        <v>884</v>
      </c>
      <c r="C253" s="22" t="s">
        <v>336</v>
      </c>
      <c r="D253" s="22" t="s">
        <v>884</v>
      </c>
      <c r="E253" s="22" t="s">
        <v>884</v>
      </c>
      <c r="F253" s="22" t="s">
        <v>20</v>
      </c>
      <c r="G253" s="23" t="n">
        <v>1</v>
      </c>
      <c r="H253" s="24" t="n">
        <v>1</v>
      </c>
      <c r="I253" s="24" t="n">
        <v>1285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2"/>
    </row>
    <row collapsed="false" customFormat="false" customHeight="false" hidden="false" ht="12.1" outlineLevel="0" r="254">
      <c r="A254" s="21" t="n">
        <v>45155.555381944</v>
      </c>
      <c r="B254" s="22" t="s">
        <v>891</v>
      </c>
      <c r="C254" s="22" t="s">
        <v>948</v>
      </c>
      <c r="D254" s="22" t="s">
        <v>891</v>
      </c>
      <c r="E254" s="22" t="s">
        <v>891</v>
      </c>
      <c r="F254" s="22" t="s">
        <v>20</v>
      </c>
      <c r="G254" s="23" t="n">
        <v>1</v>
      </c>
      <c r="H254" s="24" t="n">
        <v>1</v>
      </c>
      <c r="I254" s="24" t="n">
        <v>244.3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0" t="n">
        <v>45155.671990741</v>
      </c>
      <c r="B255" s="2" t="s">
        <v>177</v>
      </c>
      <c r="C255" s="2" t="s">
        <v>1000</v>
      </c>
      <c r="D255" s="2" t="s">
        <v>757</v>
      </c>
      <c r="E255" s="2" t="s">
        <v>96</v>
      </c>
      <c r="F255" s="2" t="s">
        <v>20</v>
      </c>
      <c r="G255" s="7" t="n">
        <v>2</v>
      </c>
      <c r="H255" s="6" t="n">
        <v>90.15</v>
      </c>
      <c r="I255" s="6" t="n">
        <v>-1803</v>
      </c>
      <c r="J255" s="6" t="n">
        <v>-7.4000000000001</v>
      </c>
      <c r="K255" s="6" t="n">
        <v>-5.41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1" t="n">
        <v>45159.396516204</v>
      </c>
      <c r="B256" s="22" t="s">
        <v>891</v>
      </c>
      <c r="C256" s="22" t="s">
        <v>1001</v>
      </c>
      <c r="D256" s="22" t="s">
        <v>891</v>
      </c>
      <c r="E256" s="22" t="s">
        <v>891</v>
      </c>
      <c r="F256" s="22" t="s">
        <v>20</v>
      </c>
      <c r="G256" s="23" t="n">
        <v>1</v>
      </c>
      <c r="H256" s="24" t="n">
        <v>1</v>
      </c>
      <c r="I256" s="24" t="n">
        <v>51.61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2"/>
    </row>
    <row collapsed="false" customFormat="false" customHeight="false" hidden="false" ht="12.1" outlineLevel="0" r="257">
      <c r="A257" s="21" t="n">
        <v>45160.712881944</v>
      </c>
      <c r="B257" s="22" t="s">
        <v>891</v>
      </c>
      <c r="C257" s="22" t="s">
        <v>965</v>
      </c>
      <c r="D257" s="22" t="s">
        <v>891</v>
      </c>
      <c r="E257" s="22" t="s">
        <v>891</v>
      </c>
      <c r="F257" s="22" t="s">
        <v>20</v>
      </c>
      <c r="G257" s="23" t="n">
        <v>1</v>
      </c>
      <c r="H257" s="24" t="n">
        <v>1</v>
      </c>
      <c r="I257" s="24" t="n">
        <v>64.82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1" t="n">
        <v>45160.721944444</v>
      </c>
      <c r="B258" s="22" t="s">
        <v>891</v>
      </c>
      <c r="C258" s="22" t="s">
        <v>1002</v>
      </c>
      <c r="D258" s="22" t="s">
        <v>891</v>
      </c>
      <c r="E258" s="22" t="s">
        <v>891</v>
      </c>
      <c r="F258" s="22" t="s">
        <v>20</v>
      </c>
      <c r="G258" s="23" t="n">
        <v>1</v>
      </c>
      <c r="H258" s="24" t="n">
        <v>1</v>
      </c>
      <c r="I258" s="24" t="n">
        <v>15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2"/>
    </row>
    <row collapsed="false" customFormat="false" customHeight="false" hidden="false" ht="12.1" outlineLevel="0" r="259">
      <c r="A259" s="21" t="n">
        <v>45162.687893519</v>
      </c>
      <c r="B259" s="22" t="s">
        <v>891</v>
      </c>
      <c r="C259" s="22" t="s">
        <v>892</v>
      </c>
      <c r="D259" s="22" t="s">
        <v>891</v>
      </c>
      <c r="E259" s="22" t="s">
        <v>891</v>
      </c>
      <c r="F259" s="22" t="s">
        <v>20</v>
      </c>
      <c r="G259" s="23" t="n">
        <v>1</v>
      </c>
      <c r="H259" s="24" t="n">
        <v>1</v>
      </c>
      <c r="I259" s="24" t="n">
        <v>10.72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45163.491655093</v>
      </c>
      <c r="B260" s="22" t="s">
        <v>891</v>
      </c>
      <c r="C260" s="22" t="s">
        <v>970</v>
      </c>
      <c r="D260" s="22" t="s">
        <v>891</v>
      </c>
      <c r="E260" s="22" t="s">
        <v>891</v>
      </c>
      <c r="F260" s="22" t="s">
        <v>20</v>
      </c>
      <c r="G260" s="23" t="n">
        <v>1</v>
      </c>
      <c r="H260" s="24" t="n">
        <v>1</v>
      </c>
      <c r="I260" s="24" t="n">
        <v>10.83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4"/>
      <c r="O260" s="22"/>
    </row>
    <row collapsed="false" customFormat="false" customHeight="false" hidden="false" ht="12.1" outlineLevel="0" r="261">
      <c r="A261" s="21" t="n">
        <v>45173.602847222</v>
      </c>
      <c r="B261" s="22" t="s">
        <v>891</v>
      </c>
      <c r="C261" s="22" t="s">
        <v>933</v>
      </c>
      <c r="D261" s="22" t="s">
        <v>891</v>
      </c>
      <c r="E261" s="22" t="s">
        <v>891</v>
      </c>
      <c r="F261" s="22" t="s">
        <v>20</v>
      </c>
      <c r="G261" s="23" t="n">
        <v>1</v>
      </c>
      <c r="H261" s="24" t="n">
        <v>1</v>
      </c>
      <c r="I261" s="24" t="n">
        <v>24.81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45175.908761574</v>
      </c>
      <c r="B262" s="22" t="s">
        <v>884</v>
      </c>
      <c r="C262" s="22" t="s">
        <v>336</v>
      </c>
      <c r="D262" s="22" t="s">
        <v>884</v>
      </c>
      <c r="E262" s="22" t="s">
        <v>884</v>
      </c>
      <c r="F262" s="22" t="s">
        <v>20</v>
      </c>
      <c r="G262" s="23" t="n">
        <v>1</v>
      </c>
      <c r="H262" s="24" t="n">
        <v>1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2"/>
    </row>
    <row collapsed="false" customFormat="false" customHeight="false" hidden="false" ht="12.1" outlineLevel="0" r="263">
      <c r="A263" s="21" t="n">
        <v>45176.529166667</v>
      </c>
      <c r="B263" s="22" t="s">
        <v>891</v>
      </c>
      <c r="C263" s="22" t="s">
        <v>934</v>
      </c>
      <c r="D263" s="22" t="s">
        <v>891</v>
      </c>
      <c r="E263" s="22" t="s">
        <v>891</v>
      </c>
      <c r="F263" s="22" t="s">
        <v>20</v>
      </c>
      <c r="G263" s="23" t="n">
        <v>1</v>
      </c>
      <c r="H263" s="24" t="n">
        <v>1</v>
      </c>
      <c r="I263" s="24" t="n">
        <v>19.87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2"/>
    </row>
    <row collapsed="false" customFormat="false" customHeight="false" hidden="false" ht="12.1" outlineLevel="0" r="264">
      <c r="A264" s="21" t="n">
        <v>45176.563553241</v>
      </c>
      <c r="B264" s="22" t="s">
        <v>891</v>
      </c>
      <c r="C264" s="22" t="s">
        <v>951</v>
      </c>
      <c r="D264" s="22" t="s">
        <v>891</v>
      </c>
      <c r="E264" s="22" t="s">
        <v>891</v>
      </c>
      <c r="F264" s="22" t="s">
        <v>20</v>
      </c>
      <c r="G264" s="23" t="n">
        <v>1</v>
      </c>
      <c r="H264" s="24" t="n">
        <v>1</v>
      </c>
      <c r="I264" s="24" t="n">
        <v>43.33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2"/>
    </row>
    <row collapsed="false" customFormat="false" customHeight="false" hidden="false" ht="12.1" outlineLevel="0" r="265">
      <c r="A265" s="21" t="n">
        <v>45183.59962963</v>
      </c>
      <c r="B265" s="22" t="s">
        <v>884</v>
      </c>
      <c r="C265" s="22" t="s">
        <v>336</v>
      </c>
      <c r="D265" s="22" t="s">
        <v>884</v>
      </c>
      <c r="E265" s="22" t="s">
        <v>884</v>
      </c>
      <c r="F265" s="22" t="s">
        <v>20</v>
      </c>
      <c r="G265" s="23" t="n">
        <v>1</v>
      </c>
      <c r="H265" s="24" t="n">
        <v>1</v>
      </c>
      <c r="I265" s="24" t="n">
        <v>6000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4"/>
      <c r="O265" s="22"/>
    </row>
    <row collapsed="false" customFormat="false" customHeight="false" hidden="false" ht="12.1" outlineLevel="0" r="266">
      <c r="A266" s="20" t="n">
        <v>45184.953784722</v>
      </c>
      <c r="B266" s="2" t="s">
        <v>135</v>
      </c>
      <c r="C266" s="2" t="s">
        <v>894</v>
      </c>
      <c r="D266" s="2" t="s">
        <v>757</v>
      </c>
      <c r="E266" s="2" t="s">
        <v>96</v>
      </c>
      <c r="F266" s="2" t="s">
        <v>20</v>
      </c>
      <c r="G266" s="7" t="n">
        <v>1</v>
      </c>
      <c r="H266" s="6" t="n">
        <v>75.439</v>
      </c>
      <c r="I266" s="6" t="n">
        <v>-754.39</v>
      </c>
      <c r="J266" s="6" t="n">
        <v>-23.24</v>
      </c>
      <c r="K266" s="6" t="n">
        <v>-2.26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45184.954178241</v>
      </c>
      <c r="B267" s="2" t="s">
        <v>111</v>
      </c>
      <c r="C267" s="2" t="s">
        <v>928</v>
      </c>
      <c r="D267" s="2" t="s">
        <v>757</v>
      </c>
      <c r="E267" s="2" t="s">
        <v>96</v>
      </c>
      <c r="F267" s="2" t="s">
        <v>20</v>
      </c>
      <c r="G267" s="7" t="n">
        <v>1</v>
      </c>
      <c r="H267" s="6" t="n">
        <v>73.96</v>
      </c>
      <c r="I267" s="6" t="n">
        <v>-739.6</v>
      </c>
      <c r="J267" s="6" t="n">
        <v>-35.02</v>
      </c>
      <c r="K267" s="6" t="n">
        <v>-2.22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45184.954398148</v>
      </c>
      <c r="B268" s="2" t="s">
        <v>95</v>
      </c>
      <c r="C268" s="2" t="s">
        <v>893</v>
      </c>
      <c r="D268" s="2" t="s">
        <v>757</v>
      </c>
      <c r="E268" s="2" t="s">
        <v>96</v>
      </c>
      <c r="F268" s="2" t="s">
        <v>20</v>
      </c>
      <c r="G268" s="7" t="n">
        <v>1</v>
      </c>
      <c r="H268" s="6" t="n">
        <v>66.648</v>
      </c>
      <c r="I268" s="6" t="n">
        <v>-666.48</v>
      </c>
      <c r="J268" s="6" t="n">
        <v>-7.86</v>
      </c>
      <c r="K268" s="6" t="n">
        <v>-2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0" t="n">
        <v>45184.954560185</v>
      </c>
      <c r="B269" s="2" t="s">
        <v>117</v>
      </c>
      <c r="C269" s="2" t="s">
        <v>889</v>
      </c>
      <c r="D269" s="2" t="s">
        <v>757</v>
      </c>
      <c r="E269" s="2" t="s">
        <v>96</v>
      </c>
      <c r="F269" s="2" t="s">
        <v>20</v>
      </c>
      <c r="G269" s="7" t="n">
        <v>1</v>
      </c>
      <c r="H269" s="6" t="n">
        <v>73.233</v>
      </c>
      <c r="I269" s="6" t="n">
        <v>-732.33</v>
      </c>
      <c r="J269" s="6" t="n">
        <v>-29.1</v>
      </c>
      <c r="K269" s="6" t="n">
        <v>-2.2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45184.954791667</v>
      </c>
      <c r="B270" s="2" t="s">
        <v>102</v>
      </c>
      <c r="C270" s="2" t="s">
        <v>935</v>
      </c>
      <c r="D270" s="2" t="s">
        <v>757</v>
      </c>
      <c r="E270" s="2" t="s">
        <v>96</v>
      </c>
      <c r="F270" s="2" t="s">
        <v>20</v>
      </c>
      <c r="G270" s="7" t="n">
        <v>1</v>
      </c>
      <c r="H270" s="6" t="n">
        <v>68.001</v>
      </c>
      <c r="I270" s="6" t="n">
        <v>-680.01</v>
      </c>
      <c r="J270" s="6" t="n">
        <v>-20.03</v>
      </c>
      <c r="K270" s="6" t="n">
        <v>-2.04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0" t="n">
        <v>45184.954976852</v>
      </c>
      <c r="B271" s="2" t="s">
        <v>108</v>
      </c>
      <c r="C271" s="2" t="s">
        <v>938</v>
      </c>
      <c r="D271" s="2" t="s">
        <v>757</v>
      </c>
      <c r="E271" s="2" t="s">
        <v>96</v>
      </c>
      <c r="F271" s="2" t="s">
        <v>20</v>
      </c>
      <c r="G271" s="7" t="n">
        <v>1</v>
      </c>
      <c r="H271" s="6" t="n">
        <v>71.195</v>
      </c>
      <c r="I271" s="6" t="n">
        <v>-711.95</v>
      </c>
      <c r="J271" s="6" t="n">
        <v>-6.3299999999999</v>
      </c>
      <c r="K271" s="6" t="n">
        <v>-2.14</v>
      </c>
      <c r="L271" s="6" t="n">
        <v>0</v>
      </c>
      <c r="M271" s="6" t="s">
        <f>=I271+J271+K271+L271</f>
      </c>
      <c r="N271" s="6"/>
      <c r="O271" s="2"/>
    </row>
    <row collapsed="false" customFormat="false" customHeight="false" hidden="false" ht="12.1" outlineLevel="0" r="272">
      <c r="A272" s="20" t="n">
        <v>45184.955162037</v>
      </c>
      <c r="B272" s="2" t="s">
        <v>95</v>
      </c>
      <c r="C272" s="2" t="s">
        <v>893</v>
      </c>
      <c r="D272" s="2" t="s">
        <v>757</v>
      </c>
      <c r="E272" s="2" t="s">
        <v>96</v>
      </c>
      <c r="F272" s="2" t="s">
        <v>20</v>
      </c>
      <c r="G272" s="7" t="n">
        <v>1</v>
      </c>
      <c r="H272" s="6" t="n">
        <v>66.648</v>
      </c>
      <c r="I272" s="6" t="n">
        <v>-666.48</v>
      </c>
      <c r="J272" s="6" t="n">
        <v>-7.86</v>
      </c>
      <c r="K272" s="6" t="n">
        <v>-2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45184.955393519</v>
      </c>
      <c r="B273" s="2" t="s">
        <v>102</v>
      </c>
      <c r="C273" s="2" t="s">
        <v>935</v>
      </c>
      <c r="D273" s="2" t="s">
        <v>757</v>
      </c>
      <c r="E273" s="2" t="s">
        <v>96</v>
      </c>
      <c r="F273" s="2" t="s">
        <v>20</v>
      </c>
      <c r="G273" s="7" t="n">
        <v>1</v>
      </c>
      <c r="H273" s="6" t="n">
        <v>68.001</v>
      </c>
      <c r="I273" s="6" t="n">
        <v>-680.01</v>
      </c>
      <c r="J273" s="6" t="n">
        <v>-20.03</v>
      </c>
      <c r="K273" s="6" t="n">
        <v>-2.04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45184.955601852</v>
      </c>
      <c r="B274" s="2" t="s">
        <v>108</v>
      </c>
      <c r="C274" s="2" t="s">
        <v>938</v>
      </c>
      <c r="D274" s="2" t="s">
        <v>757</v>
      </c>
      <c r="E274" s="2" t="s">
        <v>96</v>
      </c>
      <c r="F274" s="2" t="s">
        <v>20</v>
      </c>
      <c r="G274" s="7" t="n">
        <v>1</v>
      </c>
      <c r="H274" s="6" t="n">
        <v>71.195</v>
      </c>
      <c r="I274" s="6" t="n">
        <v>-711.95</v>
      </c>
      <c r="J274" s="6" t="n">
        <v>-6.3299999999999</v>
      </c>
      <c r="K274" s="6" t="n">
        <v>-2.14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45184.955868056</v>
      </c>
      <c r="B275" s="2" t="s">
        <v>117</v>
      </c>
      <c r="C275" s="2" t="s">
        <v>889</v>
      </c>
      <c r="D275" s="2" t="s">
        <v>757</v>
      </c>
      <c r="E275" s="2" t="s">
        <v>96</v>
      </c>
      <c r="F275" s="2" t="s">
        <v>20</v>
      </c>
      <c r="G275" s="7" t="n">
        <v>1</v>
      </c>
      <c r="H275" s="6" t="n">
        <v>73.229</v>
      </c>
      <c r="I275" s="6" t="n">
        <v>-732.29</v>
      </c>
      <c r="J275" s="6" t="n">
        <v>-29.1</v>
      </c>
      <c r="K275" s="6" t="n">
        <v>-2.2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45184.956041667</v>
      </c>
      <c r="B276" s="2" t="s">
        <v>135</v>
      </c>
      <c r="C276" s="2" t="s">
        <v>894</v>
      </c>
      <c r="D276" s="2" t="s">
        <v>757</v>
      </c>
      <c r="E276" s="2" t="s">
        <v>96</v>
      </c>
      <c r="F276" s="2" t="s">
        <v>20</v>
      </c>
      <c r="G276" s="7" t="n">
        <v>1</v>
      </c>
      <c r="H276" s="6" t="n">
        <v>75.489</v>
      </c>
      <c r="I276" s="6" t="n">
        <v>-754.89</v>
      </c>
      <c r="J276" s="6" t="n">
        <v>-23.24</v>
      </c>
      <c r="K276" s="6" t="n">
        <v>-2.26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45184.95619213</v>
      </c>
      <c r="B277" s="2" t="s">
        <v>111</v>
      </c>
      <c r="C277" s="2" t="s">
        <v>928</v>
      </c>
      <c r="D277" s="2" t="s">
        <v>757</v>
      </c>
      <c r="E277" s="2" t="s">
        <v>96</v>
      </c>
      <c r="F277" s="2" t="s">
        <v>20</v>
      </c>
      <c r="G277" s="7" t="n">
        <v>1</v>
      </c>
      <c r="H277" s="6" t="n">
        <v>73.961</v>
      </c>
      <c r="I277" s="6" t="n">
        <v>-739.61</v>
      </c>
      <c r="J277" s="6" t="n">
        <v>-35.02</v>
      </c>
      <c r="K277" s="6" t="n">
        <v>-2.22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0" t="n">
        <v>45184.956365741</v>
      </c>
      <c r="B278" s="2" t="s">
        <v>95</v>
      </c>
      <c r="C278" s="2" t="s">
        <v>893</v>
      </c>
      <c r="D278" s="2" t="s">
        <v>757</v>
      </c>
      <c r="E278" s="2" t="s">
        <v>96</v>
      </c>
      <c r="F278" s="2" t="s">
        <v>20</v>
      </c>
      <c r="G278" s="7" t="n">
        <v>1</v>
      </c>
      <c r="H278" s="6" t="n">
        <v>66.648</v>
      </c>
      <c r="I278" s="6" t="n">
        <v>-666.48</v>
      </c>
      <c r="J278" s="6" t="n">
        <v>-7.86</v>
      </c>
      <c r="K278" s="6" t="n">
        <v>-2</v>
      </c>
      <c r="L278" s="6" t="n">
        <v>0</v>
      </c>
      <c r="M278" s="6" t="s">
        <f>=I278+J278+K278+L278</f>
      </c>
      <c r="N278" s="6"/>
      <c r="O278" s="2"/>
    </row>
    <row collapsed="false" customFormat="false" customHeight="false" hidden="false" ht="12.1" outlineLevel="0" r="279">
      <c r="A279" s="20" t="n">
        <v>45184.956550926</v>
      </c>
      <c r="B279" s="2" t="s">
        <v>108</v>
      </c>
      <c r="C279" s="2" t="s">
        <v>938</v>
      </c>
      <c r="D279" s="2" t="s">
        <v>757</v>
      </c>
      <c r="E279" s="2" t="s">
        <v>96</v>
      </c>
      <c r="F279" s="2" t="s">
        <v>20</v>
      </c>
      <c r="G279" s="7" t="n">
        <v>1</v>
      </c>
      <c r="H279" s="6" t="n">
        <v>71.195</v>
      </c>
      <c r="I279" s="6" t="n">
        <v>-711.95</v>
      </c>
      <c r="J279" s="6" t="n">
        <v>-6.3299999999999</v>
      </c>
      <c r="K279" s="6" t="n">
        <v>-2.14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45184.956759259</v>
      </c>
      <c r="B280" s="2" t="s">
        <v>102</v>
      </c>
      <c r="C280" s="2" t="s">
        <v>935</v>
      </c>
      <c r="D280" s="2" t="s">
        <v>757</v>
      </c>
      <c r="E280" s="2" t="s">
        <v>96</v>
      </c>
      <c r="F280" s="2" t="s">
        <v>20</v>
      </c>
      <c r="G280" s="7" t="n">
        <v>1</v>
      </c>
      <c r="H280" s="6" t="n">
        <v>68.001</v>
      </c>
      <c r="I280" s="6" t="n">
        <v>-680.01</v>
      </c>
      <c r="J280" s="6" t="n">
        <v>-20.03</v>
      </c>
      <c r="K280" s="6" t="n">
        <v>-2.04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1" t="n">
        <v>45187.400706019</v>
      </c>
      <c r="B281" s="22" t="s">
        <v>884</v>
      </c>
      <c r="C281" s="22" t="s">
        <v>336</v>
      </c>
      <c r="D281" s="22" t="s">
        <v>884</v>
      </c>
      <c r="E281" s="22" t="s">
        <v>884</v>
      </c>
      <c r="F281" s="22" t="s">
        <v>20</v>
      </c>
      <c r="G281" s="23" t="n">
        <v>1</v>
      </c>
      <c r="H281" s="24" t="n">
        <v>1</v>
      </c>
      <c r="I281" s="24" t="n">
        <v>200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2"/>
    </row>
    <row collapsed="false" customFormat="false" customHeight="false" hidden="false" ht="12.1" outlineLevel="0" r="282">
      <c r="A282" s="21" t="n">
        <v>45189.530925926</v>
      </c>
      <c r="B282" s="22" t="s">
        <v>891</v>
      </c>
      <c r="C282" s="22" t="s">
        <v>954</v>
      </c>
      <c r="D282" s="22" t="s">
        <v>891</v>
      </c>
      <c r="E282" s="22" t="s">
        <v>891</v>
      </c>
      <c r="F282" s="22" t="s">
        <v>20</v>
      </c>
      <c r="G282" s="23" t="n">
        <v>1</v>
      </c>
      <c r="H282" s="24" t="n">
        <v>1</v>
      </c>
      <c r="I282" s="24" t="n">
        <v>39.39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45191.532303241</v>
      </c>
      <c r="B283" s="22" t="s">
        <v>891</v>
      </c>
      <c r="C283" s="22" t="s">
        <v>913</v>
      </c>
      <c r="D283" s="22" t="s">
        <v>891</v>
      </c>
      <c r="E283" s="22" t="s">
        <v>891</v>
      </c>
      <c r="F283" s="22" t="s">
        <v>20</v>
      </c>
      <c r="G283" s="23" t="n">
        <v>1</v>
      </c>
      <c r="H283" s="24" t="n">
        <v>1</v>
      </c>
      <c r="I283" s="24" t="n">
        <v>205.94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1" t="n">
        <v>45191.809525463</v>
      </c>
      <c r="B284" s="22" t="s">
        <v>891</v>
      </c>
      <c r="C284" s="22" t="s">
        <v>1002</v>
      </c>
      <c r="D284" s="22" t="s">
        <v>891</v>
      </c>
      <c r="E284" s="22" t="s">
        <v>891</v>
      </c>
      <c r="F284" s="22" t="s">
        <v>20</v>
      </c>
      <c r="G284" s="23" t="n">
        <v>1</v>
      </c>
      <c r="H284" s="24" t="n">
        <v>1</v>
      </c>
      <c r="I284" s="24" t="n">
        <v>16.48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2"/>
    </row>
    <row collapsed="false" customFormat="false" customHeight="false" hidden="false" ht="12.1" outlineLevel="0" r="285">
      <c r="A285" s="21" t="n">
        <v>45196.421828704</v>
      </c>
      <c r="B285" s="22" t="s">
        <v>901</v>
      </c>
      <c r="C285" s="22" t="s">
        <v>1003</v>
      </c>
      <c r="D285" s="22" t="s">
        <v>901</v>
      </c>
      <c r="E285" s="22" t="s">
        <v>901</v>
      </c>
      <c r="F285" s="22" t="s">
        <v>20</v>
      </c>
      <c r="G285" s="23" t="n">
        <v>1</v>
      </c>
      <c r="H285" s="24" t="n">
        <v>1</v>
      </c>
      <c r="I285" s="24" t="n">
        <v>75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1" t="n">
        <v>45196.423356481</v>
      </c>
      <c r="B286" s="22" t="s">
        <v>891</v>
      </c>
      <c r="C286" s="22" t="s">
        <v>1004</v>
      </c>
      <c r="D286" s="22" t="s">
        <v>891</v>
      </c>
      <c r="E286" s="22" t="s">
        <v>891</v>
      </c>
      <c r="F286" s="22" t="s">
        <v>20</v>
      </c>
      <c r="G286" s="23" t="n">
        <v>1</v>
      </c>
      <c r="H286" s="24" t="n">
        <v>1</v>
      </c>
      <c r="I286" s="24" t="n">
        <v>21.6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2"/>
    </row>
    <row collapsed="false" customFormat="false" customHeight="false" hidden="false" ht="12.1" outlineLevel="0" r="287">
      <c r="A287" s="21" t="n">
        <v>45197.764282407</v>
      </c>
      <c r="B287" s="22" t="s">
        <v>891</v>
      </c>
      <c r="C287" s="22" t="s">
        <v>956</v>
      </c>
      <c r="D287" s="22" t="s">
        <v>891</v>
      </c>
      <c r="E287" s="22" t="s">
        <v>891</v>
      </c>
      <c r="F287" s="22" t="s">
        <v>20</v>
      </c>
      <c r="G287" s="23" t="n">
        <v>1</v>
      </c>
      <c r="H287" s="24" t="n">
        <v>1</v>
      </c>
      <c r="I287" s="24" t="n">
        <v>59.96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45198.605358796</v>
      </c>
      <c r="B288" s="22" t="s">
        <v>884</v>
      </c>
      <c r="C288" s="22" t="s">
        <v>336</v>
      </c>
      <c r="D288" s="22" t="s">
        <v>884</v>
      </c>
      <c r="E288" s="22" t="s">
        <v>884</v>
      </c>
      <c r="F288" s="22" t="s">
        <v>20</v>
      </c>
      <c r="G288" s="23" t="n">
        <v>1</v>
      </c>
      <c r="H288" s="24" t="n">
        <v>1</v>
      </c>
      <c r="I288" s="24" t="n">
        <v>6000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0" t="n">
        <v>45198.611446759</v>
      </c>
      <c r="B289" s="2" t="s">
        <v>17</v>
      </c>
      <c r="C289" s="2" t="s">
        <v>940</v>
      </c>
      <c r="D289" s="2" t="s">
        <v>757</v>
      </c>
      <c r="E289" s="2" t="s">
        <v>18</v>
      </c>
      <c r="F289" s="2" t="s">
        <v>20</v>
      </c>
      <c r="G289" s="7" t="n">
        <v>10</v>
      </c>
      <c r="H289" s="6" t="n">
        <v>260.74</v>
      </c>
      <c r="I289" s="6" t="n">
        <v>-2607.4</v>
      </c>
      <c r="J289" s="6" t="n">
        <v>0</v>
      </c>
      <c r="K289" s="6" t="n">
        <v>-7.82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45198.611979167</v>
      </c>
      <c r="B290" s="2" t="s">
        <v>46</v>
      </c>
      <c r="C290" s="2" t="s">
        <v>905</v>
      </c>
      <c r="D290" s="2" t="s">
        <v>757</v>
      </c>
      <c r="E290" s="2" t="s">
        <v>18</v>
      </c>
      <c r="F290" s="2" t="s">
        <v>20</v>
      </c>
      <c r="G290" s="7" t="n">
        <v>100</v>
      </c>
      <c r="H290" s="6" t="n">
        <v>4.2865</v>
      </c>
      <c r="I290" s="6" t="n">
        <v>-428.65</v>
      </c>
      <c r="J290" s="6" t="n">
        <v>0</v>
      </c>
      <c r="K290" s="6" t="n">
        <v>-1.29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45198.613043981</v>
      </c>
      <c r="B291" s="2" t="s">
        <v>52</v>
      </c>
      <c r="C291" s="2" t="s">
        <v>1005</v>
      </c>
      <c r="D291" s="2" t="s">
        <v>757</v>
      </c>
      <c r="E291" s="2" t="s">
        <v>18</v>
      </c>
      <c r="F291" s="2" t="s">
        <v>20</v>
      </c>
      <c r="G291" s="7" t="n">
        <v>10</v>
      </c>
      <c r="H291" s="6" t="n">
        <v>275.35</v>
      </c>
      <c r="I291" s="6" t="n">
        <v>-2753.5</v>
      </c>
      <c r="J291" s="6" t="n">
        <v>0</v>
      </c>
      <c r="K291" s="6" t="n">
        <v>-8.26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45198.613599537</v>
      </c>
      <c r="B292" s="2" t="s">
        <v>49</v>
      </c>
      <c r="C292" s="2" t="s">
        <v>899</v>
      </c>
      <c r="D292" s="2" t="s">
        <v>757</v>
      </c>
      <c r="E292" s="2" t="s">
        <v>18</v>
      </c>
      <c r="F292" s="2" t="s">
        <v>20</v>
      </c>
      <c r="G292" s="7" t="n">
        <v>10000</v>
      </c>
      <c r="H292" s="6" t="n">
        <v>0.02573</v>
      </c>
      <c r="I292" s="6" t="n">
        <v>-257.3</v>
      </c>
      <c r="J292" s="6" t="n">
        <v>0</v>
      </c>
      <c r="K292" s="6" t="n">
        <v>-0.77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45198.61474537</v>
      </c>
      <c r="B293" s="2" t="s">
        <v>68</v>
      </c>
      <c r="C293" s="2" t="s">
        <v>915</v>
      </c>
      <c r="D293" s="2" t="s">
        <v>757</v>
      </c>
      <c r="E293" s="2" t="s">
        <v>18</v>
      </c>
      <c r="F293" s="2" t="s">
        <v>20</v>
      </c>
      <c r="G293" s="7" t="n">
        <v>100</v>
      </c>
      <c r="H293" s="6" t="n">
        <v>7.161</v>
      </c>
      <c r="I293" s="6" t="n">
        <v>-716.1</v>
      </c>
      <c r="J293" s="6" t="n">
        <v>0</v>
      </c>
      <c r="K293" s="6" t="n">
        <v>-2.15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1" t="n">
        <v>45204.574386574</v>
      </c>
      <c r="B294" s="22" t="s">
        <v>891</v>
      </c>
      <c r="C294" s="22" t="s">
        <v>958</v>
      </c>
      <c r="D294" s="22" t="s">
        <v>891</v>
      </c>
      <c r="E294" s="22" t="s">
        <v>891</v>
      </c>
      <c r="F294" s="22" t="s">
        <v>20</v>
      </c>
      <c r="G294" s="23" t="n">
        <v>1</v>
      </c>
      <c r="H294" s="24" t="n">
        <v>1</v>
      </c>
      <c r="I294" s="24" t="n">
        <v>191.95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1" t="n">
        <v>45204.713923611</v>
      </c>
      <c r="B295" s="22" t="s">
        <v>891</v>
      </c>
      <c r="C295" s="22" t="s">
        <v>957</v>
      </c>
      <c r="D295" s="22" t="s">
        <v>891</v>
      </c>
      <c r="E295" s="22" t="s">
        <v>891</v>
      </c>
      <c r="F295" s="22" t="s">
        <v>20</v>
      </c>
      <c r="G295" s="23" t="n">
        <v>1</v>
      </c>
      <c r="H295" s="24" t="n">
        <v>1</v>
      </c>
      <c r="I295" s="24" t="n">
        <v>38.39</v>
      </c>
      <c r="J295" s="24" t="n">
        <v>0</v>
      </c>
      <c r="K295" s="24" t="n">
        <v>0</v>
      </c>
      <c r="L295" s="24" t="n">
        <v>0</v>
      </c>
      <c r="M295" s="6" t="s">
        <f>=I295+J295+K295+L295</f>
      </c>
      <c r="N295" s="24"/>
      <c r="O295" s="22"/>
    </row>
    <row collapsed="false" customFormat="false" customHeight="false" hidden="false" ht="12.1" outlineLevel="0" r="296">
      <c r="A296" s="21" t="n">
        <v>45205.486990741</v>
      </c>
      <c r="B296" s="22" t="s">
        <v>891</v>
      </c>
      <c r="C296" s="22" t="s">
        <v>900</v>
      </c>
      <c r="D296" s="22" t="s">
        <v>891</v>
      </c>
      <c r="E296" s="22" t="s">
        <v>891</v>
      </c>
      <c r="F296" s="22" t="s">
        <v>20</v>
      </c>
      <c r="G296" s="23" t="n">
        <v>1</v>
      </c>
      <c r="H296" s="24" t="n">
        <v>1</v>
      </c>
      <c r="I296" s="24" t="n">
        <v>13.96</v>
      </c>
      <c r="J296" s="24" t="n">
        <v>0</v>
      </c>
      <c r="K296" s="24" t="n">
        <v>0</v>
      </c>
      <c r="L296" s="24" t="n">
        <v>0</v>
      </c>
      <c r="M296" s="6" t="s">
        <f>=I296+J296+K296+L296</f>
      </c>
      <c r="N296" s="24"/>
      <c r="O296" s="22"/>
    </row>
    <row collapsed="false" customFormat="false" customHeight="false" hidden="false" ht="12.1" outlineLevel="0" r="297">
      <c r="A297" s="21" t="n">
        <v>45211.550127315</v>
      </c>
      <c r="B297" s="22" t="s">
        <v>891</v>
      </c>
      <c r="C297" s="22" t="s">
        <v>961</v>
      </c>
      <c r="D297" s="22" t="s">
        <v>891</v>
      </c>
      <c r="E297" s="22" t="s">
        <v>891</v>
      </c>
      <c r="F297" s="22" t="s">
        <v>20</v>
      </c>
      <c r="G297" s="23" t="n">
        <v>1</v>
      </c>
      <c r="H297" s="24" t="n">
        <v>1</v>
      </c>
      <c r="I297" s="24" t="n">
        <v>86.66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2"/>
    </row>
    <row collapsed="false" customFormat="false" customHeight="false" hidden="false" ht="12.1" outlineLevel="0" r="298">
      <c r="A298" s="21" t="n">
        <v>45218.7221875</v>
      </c>
      <c r="B298" s="22" t="s">
        <v>891</v>
      </c>
      <c r="C298" s="22" t="s">
        <v>1006</v>
      </c>
      <c r="D298" s="22" t="s">
        <v>891</v>
      </c>
      <c r="E298" s="22" t="s">
        <v>891</v>
      </c>
      <c r="F298" s="22" t="s">
        <v>20</v>
      </c>
      <c r="G298" s="23" t="n">
        <v>1</v>
      </c>
      <c r="H298" s="24" t="n">
        <v>1</v>
      </c>
      <c r="I298" s="24" t="n">
        <v>76.3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4"/>
      <c r="O298" s="22"/>
    </row>
    <row collapsed="false" customFormat="false" customHeight="false" hidden="false" ht="12.1" outlineLevel="0" r="299">
      <c r="A299" s="21" t="n">
        <v>45218.773078704</v>
      </c>
      <c r="B299" s="22" t="s">
        <v>884</v>
      </c>
      <c r="C299" s="22" t="s">
        <v>336</v>
      </c>
      <c r="D299" s="22" t="s">
        <v>884</v>
      </c>
      <c r="E299" s="22" t="s">
        <v>884</v>
      </c>
      <c r="F299" s="22" t="s">
        <v>20</v>
      </c>
      <c r="G299" s="23" t="n">
        <v>1</v>
      </c>
      <c r="H299" s="24" t="n">
        <v>1</v>
      </c>
      <c r="I299" s="24" t="n">
        <v>5000</v>
      </c>
      <c r="J299" s="24" t="n">
        <v>0</v>
      </c>
      <c r="K299" s="24" t="n">
        <v>0</v>
      </c>
      <c r="L299" s="24" t="n">
        <v>0</v>
      </c>
      <c r="M299" s="6" t="s">
        <f>=I299+J299+K299+L299</f>
      </c>
      <c r="N299" s="24"/>
      <c r="O299" s="22"/>
    </row>
    <row collapsed="false" customFormat="false" customHeight="false" hidden="false" ht="12.1" outlineLevel="0" r="300">
      <c r="A300" s="20" t="n">
        <v>45219.510740741</v>
      </c>
      <c r="B300" s="2" t="s">
        <v>17</v>
      </c>
      <c r="C300" s="2" t="s">
        <v>940</v>
      </c>
      <c r="D300" s="2" t="s">
        <v>757</v>
      </c>
      <c r="E300" s="2" t="s">
        <v>18</v>
      </c>
      <c r="F300" s="2" t="s">
        <v>20</v>
      </c>
      <c r="G300" s="7" t="n">
        <v>10</v>
      </c>
      <c r="H300" s="6" t="n">
        <v>267.27</v>
      </c>
      <c r="I300" s="6" t="n">
        <v>-2672.7</v>
      </c>
      <c r="J300" s="6" t="n">
        <v>0</v>
      </c>
      <c r="K300" s="6" t="n">
        <v>-8.02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45219.511574074</v>
      </c>
      <c r="B301" s="2" t="s">
        <v>46</v>
      </c>
      <c r="C301" s="2" t="s">
        <v>905</v>
      </c>
      <c r="D301" s="2" t="s">
        <v>757</v>
      </c>
      <c r="E301" s="2" t="s">
        <v>18</v>
      </c>
      <c r="F301" s="2" t="s">
        <v>20</v>
      </c>
      <c r="G301" s="7" t="n">
        <v>200</v>
      </c>
      <c r="H301" s="6" t="n">
        <v>4.4175</v>
      </c>
      <c r="I301" s="6" t="n">
        <v>-883.5</v>
      </c>
      <c r="J301" s="6" t="n">
        <v>0</v>
      </c>
      <c r="K301" s="6" t="n">
        <v>-2.65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45219.512303241</v>
      </c>
      <c r="B302" s="2" t="s">
        <v>49</v>
      </c>
      <c r="C302" s="2" t="s">
        <v>899</v>
      </c>
      <c r="D302" s="2" t="s">
        <v>757</v>
      </c>
      <c r="E302" s="2" t="s">
        <v>18</v>
      </c>
      <c r="F302" s="2" t="s">
        <v>20</v>
      </c>
      <c r="G302" s="7" t="n">
        <v>20000</v>
      </c>
      <c r="H302" s="6" t="n">
        <v>0.02597</v>
      </c>
      <c r="I302" s="6" t="n">
        <v>-519.4</v>
      </c>
      <c r="J302" s="6" t="n">
        <v>0</v>
      </c>
      <c r="K302" s="6" t="n">
        <v>-1.56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45219.512962963</v>
      </c>
      <c r="B303" s="2" t="s">
        <v>54</v>
      </c>
      <c r="C303" s="2" t="s">
        <v>949</v>
      </c>
      <c r="D303" s="2" t="s">
        <v>757</v>
      </c>
      <c r="E303" s="2" t="s">
        <v>18</v>
      </c>
      <c r="F303" s="2" t="s">
        <v>20</v>
      </c>
      <c r="G303" s="7" t="n">
        <v>10</v>
      </c>
      <c r="H303" s="6" t="n">
        <v>40.55</v>
      </c>
      <c r="I303" s="6" t="n">
        <v>-405.5</v>
      </c>
      <c r="J303" s="6" t="n">
        <v>0</v>
      </c>
      <c r="K303" s="6" t="n">
        <v>-1.22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45219.514375</v>
      </c>
      <c r="B304" s="2" t="s">
        <v>246</v>
      </c>
      <c r="C304" s="2" t="s">
        <v>1007</v>
      </c>
      <c r="D304" s="2" t="s">
        <v>757</v>
      </c>
      <c r="E304" s="2" t="s">
        <v>96</v>
      </c>
      <c r="F304" s="2" t="s">
        <v>20</v>
      </c>
      <c r="G304" s="7" t="n">
        <v>1</v>
      </c>
      <c r="H304" s="6" t="n">
        <v>96.68</v>
      </c>
      <c r="I304" s="6" t="n">
        <v>-966.8</v>
      </c>
      <c r="J304" s="6" t="n">
        <v>-25.5</v>
      </c>
      <c r="K304" s="6" t="n">
        <v>-2.9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1" t="n">
        <v>45223.662025463</v>
      </c>
      <c r="B305" s="22" t="s">
        <v>891</v>
      </c>
      <c r="C305" s="22" t="s">
        <v>1002</v>
      </c>
      <c r="D305" s="22" t="s">
        <v>891</v>
      </c>
      <c r="E305" s="22" t="s">
        <v>891</v>
      </c>
      <c r="F305" s="22" t="s">
        <v>20</v>
      </c>
      <c r="G305" s="23" t="n">
        <v>1</v>
      </c>
      <c r="H305" s="24" t="n">
        <v>1</v>
      </c>
      <c r="I305" s="24" t="n">
        <v>22.56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1" t="n">
        <v>45224.833194444</v>
      </c>
      <c r="B306" s="22" t="s">
        <v>891</v>
      </c>
      <c r="C306" s="22" t="s">
        <v>916</v>
      </c>
      <c r="D306" s="22" t="s">
        <v>891</v>
      </c>
      <c r="E306" s="22" t="s">
        <v>891</v>
      </c>
      <c r="F306" s="22" t="s">
        <v>20</v>
      </c>
      <c r="G306" s="23" t="n">
        <v>1</v>
      </c>
      <c r="H306" s="24" t="n">
        <v>1</v>
      </c>
      <c r="I306" s="24" t="n">
        <v>34.5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4"/>
      <c r="O306" s="22"/>
    </row>
    <row collapsed="false" customFormat="false" customHeight="false" hidden="false" ht="12.1" outlineLevel="0" r="307">
      <c r="A307" s="25" t="n">
        <v>45224.833194444</v>
      </c>
      <c r="B307" s="26" t="s">
        <v>917</v>
      </c>
      <c r="C307" s="26" t="s">
        <v>918</v>
      </c>
      <c r="D307" s="26" t="s">
        <v>917</v>
      </c>
      <c r="E307" s="26" t="s">
        <v>917</v>
      </c>
      <c r="F307" s="26" t="s">
        <v>20</v>
      </c>
      <c r="G307" s="27" t="n">
        <v>1</v>
      </c>
      <c r="H307" s="28" t="n">
        <v>-4</v>
      </c>
      <c r="I307" s="28" t="n">
        <v>-4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1" t="n">
        <v>45225.501446759</v>
      </c>
      <c r="B308" s="22" t="s">
        <v>891</v>
      </c>
      <c r="C308" s="22" t="s">
        <v>908</v>
      </c>
      <c r="D308" s="22" t="s">
        <v>891</v>
      </c>
      <c r="E308" s="22" t="s">
        <v>891</v>
      </c>
      <c r="F308" s="22" t="s">
        <v>20</v>
      </c>
      <c r="G308" s="23" t="n">
        <v>1</v>
      </c>
      <c r="H308" s="24" t="n">
        <v>1</v>
      </c>
      <c r="I308" s="24" t="n">
        <v>27.78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2"/>
    </row>
    <row collapsed="false" customFormat="false" customHeight="false" hidden="false" ht="12.1" outlineLevel="0" r="309">
      <c r="A309" s="21" t="n">
        <v>45225.530497685</v>
      </c>
      <c r="B309" s="22" t="s">
        <v>891</v>
      </c>
      <c r="C309" s="22" t="s">
        <v>1008</v>
      </c>
      <c r="D309" s="22" t="s">
        <v>891</v>
      </c>
      <c r="E309" s="22" t="s">
        <v>891</v>
      </c>
      <c r="F309" s="22" t="s">
        <v>20</v>
      </c>
      <c r="G309" s="23" t="n">
        <v>1</v>
      </c>
      <c r="H309" s="24" t="n">
        <v>1</v>
      </c>
      <c r="I309" s="24" t="n">
        <v>31.64</v>
      </c>
      <c r="J309" s="24" t="n">
        <v>0</v>
      </c>
      <c r="K309" s="24" t="n">
        <v>0</v>
      </c>
      <c r="L309" s="24" t="n">
        <v>0</v>
      </c>
      <c r="M309" s="6" t="s">
        <f>=I309+J309+K309+L309</f>
      </c>
      <c r="N309" s="24"/>
      <c r="O309" s="22"/>
    </row>
    <row collapsed="false" customFormat="false" customHeight="false" hidden="false" ht="12.1" outlineLevel="0" r="310">
      <c r="A310" s="21" t="n">
        <v>45225.689537037</v>
      </c>
      <c r="B310" s="22" t="s">
        <v>891</v>
      </c>
      <c r="C310" s="22" t="s">
        <v>923</v>
      </c>
      <c r="D310" s="22" t="s">
        <v>891</v>
      </c>
      <c r="E310" s="22" t="s">
        <v>891</v>
      </c>
      <c r="F310" s="22" t="s">
        <v>20</v>
      </c>
      <c r="G310" s="23" t="n">
        <v>1</v>
      </c>
      <c r="H310" s="24" t="n">
        <v>1</v>
      </c>
      <c r="I310" s="24" t="n">
        <v>27.54</v>
      </c>
      <c r="J310" s="24" t="n">
        <v>0</v>
      </c>
      <c r="K310" s="24" t="n">
        <v>0</v>
      </c>
      <c r="L310" s="24" t="n">
        <v>0</v>
      </c>
      <c r="M310" s="6" t="s">
        <f>=I310+J310+K310+L310</f>
      </c>
      <c r="N310" s="24"/>
      <c r="O310" s="22"/>
    </row>
    <row collapsed="false" customFormat="false" customHeight="false" hidden="false" ht="12.1" outlineLevel="0" r="311">
      <c r="A311" s="25" t="n">
        <v>45225.689537037</v>
      </c>
      <c r="B311" s="26" t="s">
        <v>917</v>
      </c>
      <c r="C311" s="26" t="s">
        <v>922</v>
      </c>
      <c r="D311" s="26" t="s">
        <v>917</v>
      </c>
      <c r="E311" s="26" t="s">
        <v>917</v>
      </c>
      <c r="F311" s="26" t="s">
        <v>20</v>
      </c>
      <c r="G311" s="27" t="n">
        <v>1</v>
      </c>
      <c r="H311" s="28" t="n">
        <v>-4</v>
      </c>
      <c r="I311" s="28" t="n">
        <v>-4</v>
      </c>
      <c r="J311" s="28" t="n">
        <v>0</v>
      </c>
      <c r="K311" s="28" t="n">
        <v>0</v>
      </c>
      <c r="L311" s="28" t="n">
        <v>0</v>
      </c>
      <c r="M311" s="6" t="s">
        <f>=I311+J311+K311+L311</f>
      </c>
      <c r="N311" s="28"/>
      <c r="O311" s="26"/>
    </row>
    <row collapsed="false" customFormat="false" customHeight="false" hidden="false" ht="12.1" outlineLevel="0" r="312">
      <c r="A312" s="21" t="n">
        <v>45231.50306713</v>
      </c>
      <c r="B312" s="22" t="s">
        <v>891</v>
      </c>
      <c r="C312" s="22" t="s">
        <v>945</v>
      </c>
      <c r="D312" s="22" t="s">
        <v>891</v>
      </c>
      <c r="E312" s="22" t="s">
        <v>891</v>
      </c>
      <c r="F312" s="22" t="s">
        <v>20</v>
      </c>
      <c r="G312" s="23" t="n">
        <v>1</v>
      </c>
      <c r="H312" s="24" t="n">
        <v>1</v>
      </c>
      <c r="I312" s="24" t="n">
        <v>28.22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2"/>
    </row>
    <row collapsed="false" customFormat="false" customHeight="false" hidden="false" ht="12.1" outlineLevel="0" r="313">
      <c r="A313" s="21" t="n">
        <v>45232.572303241</v>
      </c>
      <c r="B313" s="22" t="s">
        <v>891</v>
      </c>
      <c r="C313" s="22" t="s">
        <v>1009</v>
      </c>
      <c r="D313" s="22" t="s">
        <v>891</v>
      </c>
      <c r="E313" s="22" t="s">
        <v>891</v>
      </c>
      <c r="F313" s="22" t="s">
        <v>20</v>
      </c>
      <c r="G313" s="23" t="n">
        <v>1</v>
      </c>
      <c r="H313" s="24" t="n">
        <v>1</v>
      </c>
      <c r="I313" s="24" t="n">
        <v>28.73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21" t="n">
        <v>45233.52806713</v>
      </c>
      <c r="B314" s="22" t="s">
        <v>891</v>
      </c>
      <c r="C314" s="22" t="s">
        <v>929</v>
      </c>
      <c r="D314" s="22" t="s">
        <v>891</v>
      </c>
      <c r="E314" s="22" t="s">
        <v>891</v>
      </c>
      <c r="F314" s="22" t="s">
        <v>20</v>
      </c>
      <c r="G314" s="23" t="n">
        <v>1</v>
      </c>
      <c r="H314" s="24" t="n">
        <v>1</v>
      </c>
      <c r="I314" s="24" t="n">
        <v>42.38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1" t="n">
        <v>45237.711168981</v>
      </c>
      <c r="B315" s="22" t="s">
        <v>884</v>
      </c>
      <c r="C315" s="22" t="s">
        <v>336</v>
      </c>
      <c r="D315" s="22" t="s">
        <v>884</v>
      </c>
      <c r="E315" s="22" t="s">
        <v>884</v>
      </c>
      <c r="F315" s="22" t="s">
        <v>20</v>
      </c>
      <c r="G315" s="23" t="n">
        <v>1</v>
      </c>
      <c r="H315" s="24" t="n">
        <v>1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45240.542071759</v>
      </c>
      <c r="B316" s="2" t="s">
        <v>132</v>
      </c>
      <c r="C316" s="2" t="s">
        <v>927</v>
      </c>
      <c r="D316" s="2" t="s">
        <v>757</v>
      </c>
      <c r="E316" s="2" t="s">
        <v>96</v>
      </c>
      <c r="F316" s="2" t="s">
        <v>20</v>
      </c>
      <c r="G316" s="7" t="n">
        <v>1</v>
      </c>
      <c r="H316" s="6" t="n">
        <v>79.5</v>
      </c>
      <c r="I316" s="6" t="n">
        <v>-795</v>
      </c>
      <c r="J316" s="6" t="n">
        <v>-8.4400000000001</v>
      </c>
      <c r="K316" s="6" t="n">
        <v>-2.39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45240.542511574</v>
      </c>
      <c r="B317" s="2" t="s">
        <v>135</v>
      </c>
      <c r="C317" s="2" t="s">
        <v>894</v>
      </c>
      <c r="D317" s="2" t="s">
        <v>757</v>
      </c>
      <c r="E317" s="2" t="s">
        <v>96</v>
      </c>
      <c r="F317" s="2" t="s">
        <v>20</v>
      </c>
      <c r="G317" s="7" t="n">
        <v>1</v>
      </c>
      <c r="H317" s="6" t="n">
        <v>75.5</v>
      </c>
      <c r="I317" s="6" t="n">
        <v>-755</v>
      </c>
      <c r="J317" s="6" t="n">
        <v>-34.36</v>
      </c>
      <c r="K317" s="6" t="n">
        <v>-2.27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0" t="n">
        <v>45240.54349537</v>
      </c>
      <c r="B318" s="2" t="s">
        <v>114</v>
      </c>
      <c r="C318" s="2" t="s">
        <v>964</v>
      </c>
      <c r="D318" s="2" t="s">
        <v>757</v>
      </c>
      <c r="E318" s="2" t="s">
        <v>96</v>
      </c>
      <c r="F318" s="2" t="s">
        <v>20</v>
      </c>
      <c r="G318" s="7" t="n">
        <v>1</v>
      </c>
      <c r="H318" s="6" t="n">
        <v>83.588</v>
      </c>
      <c r="I318" s="6" t="n">
        <v>-835.88</v>
      </c>
      <c r="J318" s="6" t="n">
        <v>-5.45</v>
      </c>
      <c r="K318" s="6" t="n">
        <v>-2.51</v>
      </c>
      <c r="L318" s="6" t="n">
        <v>0</v>
      </c>
      <c r="M318" s="6" t="s">
        <f>=I318+J318+K318+L318</f>
      </c>
      <c r="N318" s="6"/>
      <c r="O318" s="2"/>
    </row>
    <row collapsed="false" customFormat="false" customHeight="false" hidden="false" ht="12.1" outlineLevel="0" r="319">
      <c r="A319" s="20" t="n">
        <v>45240.543854167</v>
      </c>
      <c r="B319" s="2" t="s">
        <v>111</v>
      </c>
      <c r="C319" s="2" t="s">
        <v>928</v>
      </c>
      <c r="D319" s="2" t="s">
        <v>757</v>
      </c>
      <c r="E319" s="2" t="s">
        <v>96</v>
      </c>
      <c r="F319" s="2" t="s">
        <v>20</v>
      </c>
      <c r="G319" s="7" t="n">
        <v>1</v>
      </c>
      <c r="H319" s="6" t="n">
        <v>73.589</v>
      </c>
      <c r="I319" s="6" t="n">
        <v>-735.89</v>
      </c>
      <c r="J319" s="6" t="n">
        <v>-8.4400000000001</v>
      </c>
      <c r="K319" s="6" t="n">
        <v>-2.21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45240.544131944</v>
      </c>
      <c r="B320" s="2" t="s">
        <v>95</v>
      </c>
      <c r="C320" s="2" t="s">
        <v>893</v>
      </c>
      <c r="D320" s="2" t="s">
        <v>757</v>
      </c>
      <c r="E320" s="2" t="s">
        <v>96</v>
      </c>
      <c r="F320" s="2" t="s">
        <v>20</v>
      </c>
      <c r="G320" s="7" t="n">
        <v>2</v>
      </c>
      <c r="H320" s="6" t="n">
        <v>66.663</v>
      </c>
      <c r="I320" s="6" t="n">
        <v>-1333.26</v>
      </c>
      <c r="J320" s="6" t="n">
        <v>-34.44</v>
      </c>
      <c r="K320" s="6" t="n">
        <v>-4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45240.544467593</v>
      </c>
      <c r="B321" s="2" t="s">
        <v>102</v>
      </c>
      <c r="C321" s="2" t="s">
        <v>935</v>
      </c>
      <c r="D321" s="2" t="s">
        <v>757</v>
      </c>
      <c r="E321" s="2" t="s">
        <v>96</v>
      </c>
      <c r="F321" s="2" t="s">
        <v>20</v>
      </c>
      <c r="G321" s="7" t="n">
        <v>1</v>
      </c>
      <c r="H321" s="6" t="n">
        <v>67.887</v>
      </c>
      <c r="I321" s="6" t="n">
        <v>-678.87</v>
      </c>
      <c r="J321" s="6" t="n">
        <v>-30.93</v>
      </c>
      <c r="K321" s="6" t="n">
        <v>-2.04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1" t="n">
        <v>45244.530613426</v>
      </c>
      <c r="B322" s="22" t="s">
        <v>884</v>
      </c>
      <c r="C322" s="22" t="s">
        <v>336</v>
      </c>
      <c r="D322" s="22" t="s">
        <v>884</v>
      </c>
      <c r="E322" s="22" t="s">
        <v>884</v>
      </c>
      <c r="F322" s="22" t="s">
        <v>20</v>
      </c>
      <c r="G322" s="23" t="n">
        <v>1</v>
      </c>
      <c r="H322" s="24" t="n">
        <v>1</v>
      </c>
      <c r="I322" s="24" t="n">
        <v>6200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45244.538888889</v>
      </c>
      <c r="B323" s="2" t="s">
        <v>17</v>
      </c>
      <c r="C323" s="2" t="s">
        <v>940</v>
      </c>
      <c r="D323" s="2" t="s">
        <v>757</v>
      </c>
      <c r="E323" s="2" t="s">
        <v>18</v>
      </c>
      <c r="F323" s="2" t="s">
        <v>20</v>
      </c>
      <c r="G323" s="7" t="n">
        <v>10</v>
      </c>
      <c r="H323" s="6" t="n">
        <v>282.98</v>
      </c>
      <c r="I323" s="6" t="n">
        <v>-2829.8</v>
      </c>
      <c r="J323" s="6" t="n">
        <v>0</v>
      </c>
      <c r="K323" s="6" t="n">
        <v>-8.49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45244.539502315</v>
      </c>
      <c r="B324" s="2" t="s">
        <v>46</v>
      </c>
      <c r="C324" s="2" t="s">
        <v>905</v>
      </c>
      <c r="D324" s="2" t="s">
        <v>757</v>
      </c>
      <c r="E324" s="2" t="s">
        <v>18</v>
      </c>
      <c r="F324" s="2" t="s">
        <v>20</v>
      </c>
      <c r="G324" s="7" t="n">
        <v>100</v>
      </c>
      <c r="H324" s="6" t="n">
        <v>4.27</v>
      </c>
      <c r="I324" s="6" t="n">
        <v>-427</v>
      </c>
      <c r="J324" s="6" t="n">
        <v>0</v>
      </c>
      <c r="K324" s="6" t="n">
        <v>-1.28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45244.539988426</v>
      </c>
      <c r="B325" s="2" t="s">
        <v>78</v>
      </c>
      <c r="C325" s="2" t="s">
        <v>1010</v>
      </c>
      <c r="D325" s="2" t="s">
        <v>757</v>
      </c>
      <c r="E325" s="2" t="s">
        <v>18</v>
      </c>
      <c r="F325" s="2" t="s">
        <v>20</v>
      </c>
      <c r="G325" s="7" t="n">
        <v>1000</v>
      </c>
      <c r="H325" s="6" t="n">
        <v>2.231</v>
      </c>
      <c r="I325" s="6" t="n">
        <v>-2231</v>
      </c>
      <c r="J325" s="6" t="n">
        <v>0</v>
      </c>
      <c r="K325" s="6" t="n">
        <v>-6.69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45246.614259259</v>
      </c>
      <c r="B326" s="22" t="s">
        <v>891</v>
      </c>
      <c r="C326" s="22" t="s">
        <v>930</v>
      </c>
      <c r="D326" s="22" t="s">
        <v>891</v>
      </c>
      <c r="E326" s="22" t="s">
        <v>891</v>
      </c>
      <c r="F326" s="22" t="s">
        <v>20</v>
      </c>
      <c r="G326" s="23" t="n">
        <v>1</v>
      </c>
      <c r="H326" s="24" t="n">
        <v>1</v>
      </c>
      <c r="I326" s="24" t="n">
        <v>130.29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4"/>
      <c r="O326" s="22"/>
    </row>
    <row collapsed="false" customFormat="false" customHeight="false" hidden="false" ht="12.1" outlineLevel="0" r="327">
      <c r="A327" s="21" t="n">
        <v>45251.628472222</v>
      </c>
      <c r="B327" s="22" t="s">
        <v>891</v>
      </c>
      <c r="C327" s="22" t="s">
        <v>965</v>
      </c>
      <c r="D327" s="22" t="s">
        <v>891</v>
      </c>
      <c r="E327" s="22" t="s">
        <v>891</v>
      </c>
      <c r="F327" s="22" t="s">
        <v>20</v>
      </c>
      <c r="G327" s="23" t="n">
        <v>1</v>
      </c>
      <c r="H327" s="24" t="n">
        <v>1</v>
      </c>
      <c r="I327" s="24" t="n">
        <v>64.82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4"/>
      <c r="O327" s="22"/>
    </row>
    <row collapsed="false" customFormat="false" customHeight="false" hidden="false" ht="12.1" outlineLevel="0" r="328">
      <c r="A328" s="21" t="n">
        <v>45254.504583333</v>
      </c>
      <c r="B328" s="22" t="s">
        <v>891</v>
      </c>
      <c r="C328" s="22" t="s">
        <v>1002</v>
      </c>
      <c r="D328" s="22" t="s">
        <v>891</v>
      </c>
      <c r="E328" s="22" t="s">
        <v>891</v>
      </c>
      <c r="F328" s="22" t="s">
        <v>20</v>
      </c>
      <c r="G328" s="23" t="n">
        <v>1</v>
      </c>
      <c r="H328" s="24" t="n">
        <v>1</v>
      </c>
      <c r="I328" s="24" t="n">
        <v>23.86</v>
      </c>
      <c r="J328" s="24" t="n">
        <v>0</v>
      </c>
      <c r="K328" s="24" t="n">
        <v>0</v>
      </c>
      <c r="L328" s="24" t="n">
        <v>0</v>
      </c>
      <c r="M328" s="6" t="s">
        <f>=I328+J328+K328+L328</f>
      </c>
      <c r="N328" s="24"/>
      <c r="O328" s="22"/>
    </row>
    <row collapsed="false" customFormat="false" customHeight="false" hidden="false" ht="12.1" outlineLevel="0" r="329">
      <c r="A329" s="21" t="n">
        <v>45254.756527778</v>
      </c>
      <c r="B329" s="22" t="s">
        <v>901</v>
      </c>
      <c r="C329" s="22" t="s">
        <v>931</v>
      </c>
      <c r="D329" s="22" t="s">
        <v>901</v>
      </c>
      <c r="E329" s="22" t="s">
        <v>901</v>
      </c>
      <c r="F329" s="22" t="s">
        <v>20</v>
      </c>
      <c r="G329" s="23" t="n">
        <v>1</v>
      </c>
      <c r="H329" s="24" t="n">
        <v>1</v>
      </c>
      <c r="I329" s="24" t="n">
        <v>250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1" t="n">
        <v>45254.761284722</v>
      </c>
      <c r="B330" s="22" t="s">
        <v>891</v>
      </c>
      <c r="C330" s="22" t="s">
        <v>892</v>
      </c>
      <c r="D330" s="22" t="s">
        <v>891</v>
      </c>
      <c r="E330" s="22" t="s">
        <v>891</v>
      </c>
      <c r="F330" s="22" t="s">
        <v>20</v>
      </c>
      <c r="G330" s="23" t="n">
        <v>1</v>
      </c>
      <c r="H330" s="24" t="n">
        <v>1</v>
      </c>
      <c r="I330" s="24" t="n">
        <v>10.72</v>
      </c>
      <c r="J330" s="24" t="n">
        <v>0</v>
      </c>
      <c r="K330" s="24" t="n">
        <v>0</v>
      </c>
      <c r="L330" s="24" t="n">
        <v>0</v>
      </c>
      <c r="M330" s="6" t="s">
        <f>=I330+J330+K330+L330</f>
      </c>
      <c r="N330" s="24"/>
      <c r="O330" s="22"/>
    </row>
    <row collapsed="false" customFormat="false" customHeight="false" hidden="false" ht="12.1" outlineLevel="0" r="331">
      <c r="A331" s="21" t="n">
        <v>45257.499155093</v>
      </c>
      <c r="B331" s="22" t="s">
        <v>891</v>
      </c>
      <c r="C331" s="22" t="s">
        <v>932</v>
      </c>
      <c r="D331" s="22" t="s">
        <v>891</v>
      </c>
      <c r="E331" s="22" t="s">
        <v>891</v>
      </c>
      <c r="F331" s="22" t="s">
        <v>20</v>
      </c>
      <c r="G331" s="23" t="n">
        <v>1</v>
      </c>
      <c r="H331" s="24" t="n">
        <v>1</v>
      </c>
      <c r="I331" s="24" t="n">
        <v>216.9</v>
      </c>
      <c r="J331" s="24" t="n">
        <v>0</v>
      </c>
      <c r="K331" s="24" t="n">
        <v>0</v>
      </c>
      <c r="L331" s="24" t="n">
        <v>0</v>
      </c>
      <c r="M331" s="6" t="s">
        <f>=I331+J331+K331+L331</f>
      </c>
      <c r="N331" s="24"/>
      <c r="O331" s="22"/>
    </row>
    <row collapsed="false" customFormat="false" customHeight="false" hidden="false" ht="12.1" outlineLevel="0" r="332">
      <c r="A332" s="21" t="n">
        <v>45257.56849537</v>
      </c>
      <c r="B332" s="22" t="s">
        <v>891</v>
      </c>
      <c r="C332" s="22" t="s">
        <v>1011</v>
      </c>
      <c r="D332" s="22" t="s">
        <v>891</v>
      </c>
      <c r="E332" s="22" t="s">
        <v>891</v>
      </c>
      <c r="F332" s="22" t="s">
        <v>20</v>
      </c>
      <c r="G332" s="23" t="n">
        <v>1</v>
      </c>
      <c r="H332" s="24" t="n">
        <v>1</v>
      </c>
      <c r="I332" s="24" t="n">
        <v>89.8</v>
      </c>
      <c r="J332" s="24" t="n">
        <v>0</v>
      </c>
      <c r="K332" s="24" t="n">
        <v>0</v>
      </c>
      <c r="L332" s="24" t="n">
        <v>0</v>
      </c>
      <c r="M332" s="6" t="s">
        <f>=I332+J332+K332+L332</f>
      </c>
      <c r="N332" s="24"/>
      <c r="O332" s="22"/>
    </row>
    <row collapsed="false" customFormat="false" customHeight="false" hidden="false" ht="12.1" outlineLevel="0" r="333">
      <c r="A333" s="21" t="n">
        <v>45258.448344907</v>
      </c>
      <c r="B333" s="22" t="s">
        <v>891</v>
      </c>
      <c r="C333" s="22" t="s">
        <v>970</v>
      </c>
      <c r="D333" s="22" t="s">
        <v>891</v>
      </c>
      <c r="E333" s="22" t="s">
        <v>891</v>
      </c>
      <c r="F333" s="22" t="s">
        <v>20</v>
      </c>
      <c r="G333" s="23" t="n">
        <v>1</v>
      </c>
      <c r="H333" s="24" t="n">
        <v>1</v>
      </c>
      <c r="I333" s="24" t="n">
        <v>10.83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21" t="n">
        <v>45265.48869213</v>
      </c>
      <c r="B334" s="22" t="s">
        <v>891</v>
      </c>
      <c r="C334" s="22" t="s">
        <v>933</v>
      </c>
      <c r="D334" s="22" t="s">
        <v>891</v>
      </c>
      <c r="E334" s="22" t="s">
        <v>891</v>
      </c>
      <c r="F334" s="22" t="s">
        <v>20</v>
      </c>
      <c r="G334" s="23" t="n">
        <v>1</v>
      </c>
      <c r="H334" s="24" t="n">
        <v>1</v>
      </c>
      <c r="I334" s="24" t="n">
        <v>24.81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1" t="n">
        <v>45266.542604167</v>
      </c>
      <c r="B335" s="22" t="s">
        <v>891</v>
      </c>
      <c r="C335" s="22" t="s">
        <v>1012</v>
      </c>
      <c r="D335" s="22" t="s">
        <v>891</v>
      </c>
      <c r="E335" s="22" t="s">
        <v>891</v>
      </c>
      <c r="F335" s="22" t="s">
        <v>20</v>
      </c>
      <c r="G335" s="23" t="n">
        <v>1</v>
      </c>
      <c r="H335" s="24" t="n">
        <v>1</v>
      </c>
      <c r="I335" s="24" t="n">
        <v>56.1</v>
      </c>
      <c r="J335" s="24" t="n">
        <v>0</v>
      </c>
      <c r="K335" s="24" t="n">
        <v>0</v>
      </c>
      <c r="L335" s="24" t="n">
        <v>0</v>
      </c>
      <c r="M335" s="6" t="s">
        <f>=I335+J335+K335+L335</f>
      </c>
      <c r="N335" s="24"/>
      <c r="O335" s="22"/>
    </row>
    <row collapsed="false" customFormat="false" customHeight="false" hidden="false" ht="12.1" outlineLevel="0" r="336">
      <c r="A336" s="21" t="n">
        <v>45267.408935185</v>
      </c>
      <c r="B336" s="22" t="s">
        <v>884</v>
      </c>
      <c r="C336" s="22" t="s">
        <v>336</v>
      </c>
      <c r="D336" s="22" t="s">
        <v>884</v>
      </c>
      <c r="E336" s="22" t="s">
        <v>884</v>
      </c>
      <c r="F336" s="22" t="s">
        <v>20</v>
      </c>
      <c r="G336" s="23" t="n">
        <v>1</v>
      </c>
      <c r="H336" s="24" t="n">
        <v>1</v>
      </c>
      <c r="I336" s="24" t="n">
        <v>11200</v>
      </c>
      <c r="J336" s="24" t="n">
        <v>0</v>
      </c>
      <c r="K336" s="24" t="n">
        <v>0</v>
      </c>
      <c r="L336" s="24" t="n">
        <v>0</v>
      </c>
      <c r="M336" s="6" t="s">
        <f>=I336+J336+K336+L336</f>
      </c>
      <c r="N336" s="24"/>
      <c r="O336" s="22"/>
    </row>
    <row collapsed="false" customFormat="false" customHeight="false" hidden="false" ht="12.1" outlineLevel="0" r="337">
      <c r="A337" s="20" t="n">
        <v>45267.417418981</v>
      </c>
      <c r="B337" s="2" t="s">
        <v>17</v>
      </c>
      <c r="C337" s="2" t="s">
        <v>940</v>
      </c>
      <c r="D337" s="2" t="s">
        <v>757</v>
      </c>
      <c r="E337" s="2" t="s">
        <v>18</v>
      </c>
      <c r="F337" s="2" t="s">
        <v>20</v>
      </c>
      <c r="G337" s="7" t="n">
        <v>10</v>
      </c>
      <c r="H337" s="6" t="n">
        <v>267.98</v>
      </c>
      <c r="I337" s="6" t="n">
        <v>-2679.8</v>
      </c>
      <c r="J337" s="6" t="n">
        <v>0</v>
      </c>
      <c r="K337" s="6" t="n">
        <v>-8.04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45267.420092593</v>
      </c>
      <c r="B338" s="2" t="s">
        <v>150</v>
      </c>
      <c r="C338" s="2" t="s">
        <v>959</v>
      </c>
      <c r="D338" s="2" t="s">
        <v>757</v>
      </c>
      <c r="E338" s="2" t="s">
        <v>96</v>
      </c>
      <c r="F338" s="2" t="s">
        <v>20</v>
      </c>
      <c r="G338" s="7" t="n">
        <v>1</v>
      </c>
      <c r="H338" s="6" t="n">
        <v>76.455182130869</v>
      </c>
      <c r="I338" s="6" t="n">
        <v>-922.47</v>
      </c>
      <c r="J338" s="6" t="n">
        <v>-1.14</v>
      </c>
      <c r="K338" s="6" t="n">
        <v>-2.77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45267.420902778</v>
      </c>
      <c r="B339" s="2" t="s">
        <v>186</v>
      </c>
      <c r="C339" s="2" t="s">
        <v>971</v>
      </c>
      <c r="D339" s="2" t="s">
        <v>757</v>
      </c>
      <c r="E339" s="2" t="s">
        <v>96</v>
      </c>
      <c r="F339" s="2" t="s">
        <v>20</v>
      </c>
      <c r="G339" s="7" t="n">
        <v>1</v>
      </c>
      <c r="H339" s="6" t="n">
        <v>87.78</v>
      </c>
      <c r="I339" s="6" t="n">
        <v>-877.8</v>
      </c>
      <c r="J339" s="6" t="n">
        <v>-0.36000000000001</v>
      </c>
      <c r="K339" s="6" t="n">
        <v>-2.63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45267.42244213</v>
      </c>
      <c r="B340" s="2" t="s">
        <v>308</v>
      </c>
      <c r="C340" s="2" t="s">
        <v>1013</v>
      </c>
      <c r="D340" s="2" t="s">
        <v>757</v>
      </c>
      <c r="E340" s="2" t="s">
        <v>96</v>
      </c>
      <c r="F340" s="2" t="s">
        <v>20</v>
      </c>
      <c r="G340" s="7" t="n">
        <v>1</v>
      </c>
      <c r="H340" s="6" t="n">
        <v>97.58</v>
      </c>
      <c r="I340" s="6" t="n">
        <v>-975.8</v>
      </c>
      <c r="J340" s="6" t="n">
        <v>-16.95</v>
      </c>
      <c r="K340" s="6" t="n">
        <v>-2.93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45267.423032407</v>
      </c>
      <c r="B341" s="2" t="s">
        <v>213</v>
      </c>
      <c r="C341" s="2" t="s">
        <v>1014</v>
      </c>
      <c r="D341" s="2" t="s">
        <v>757</v>
      </c>
      <c r="E341" s="2" t="s">
        <v>96</v>
      </c>
      <c r="F341" s="2" t="s">
        <v>20</v>
      </c>
      <c r="G341" s="7" t="n">
        <v>2</v>
      </c>
      <c r="H341" s="6" t="n">
        <v>87.48</v>
      </c>
      <c r="I341" s="6" t="n">
        <v>-1749.6</v>
      </c>
      <c r="J341" s="6" t="n">
        <v>-58.22</v>
      </c>
      <c r="K341" s="6" t="n">
        <v>-5.25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45267.424641204</v>
      </c>
      <c r="B342" s="2" t="s">
        <v>95</v>
      </c>
      <c r="C342" s="2" t="s">
        <v>893</v>
      </c>
      <c r="D342" s="2" t="s">
        <v>757</v>
      </c>
      <c r="E342" s="2" t="s">
        <v>96</v>
      </c>
      <c r="F342" s="2" t="s">
        <v>20</v>
      </c>
      <c r="G342" s="7" t="n">
        <v>3</v>
      </c>
      <c r="H342" s="6" t="n">
        <v>64.578</v>
      </c>
      <c r="I342" s="6" t="n">
        <v>-1937.34</v>
      </c>
      <c r="J342" s="6" t="n">
        <v>-64.17</v>
      </c>
      <c r="K342" s="6" t="n">
        <v>-5.82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0" t="n">
        <v>45267.425034722</v>
      </c>
      <c r="B343" s="2" t="s">
        <v>102</v>
      </c>
      <c r="C343" s="2" t="s">
        <v>935</v>
      </c>
      <c r="D343" s="2" t="s">
        <v>757</v>
      </c>
      <c r="E343" s="2" t="s">
        <v>96</v>
      </c>
      <c r="F343" s="2" t="s">
        <v>20</v>
      </c>
      <c r="G343" s="7" t="n">
        <v>2</v>
      </c>
      <c r="H343" s="6" t="n">
        <v>65.669</v>
      </c>
      <c r="I343" s="6" t="n">
        <v>-1313.38</v>
      </c>
      <c r="J343" s="6" t="n">
        <v>-0.77999999999997</v>
      </c>
      <c r="K343" s="6" t="n">
        <v>-3.94</v>
      </c>
      <c r="L343" s="6" t="n">
        <v>0</v>
      </c>
      <c r="M343" s="6" t="s">
        <f>=I343+J343+K343+L343</f>
      </c>
      <c r="N343" s="6"/>
      <c r="O343" s="2"/>
    </row>
    <row collapsed="false" customFormat="false" customHeight="false" hidden="false" ht="12.1" outlineLevel="0" r="344">
      <c r="A344" s="20" t="n">
        <v>45267.425474537</v>
      </c>
      <c r="B344" s="2" t="s">
        <v>111</v>
      </c>
      <c r="C344" s="2" t="s">
        <v>928</v>
      </c>
      <c r="D344" s="2" t="s">
        <v>757</v>
      </c>
      <c r="E344" s="2" t="s">
        <v>96</v>
      </c>
      <c r="F344" s="2" t="s">
        <v>20</v>
      </c>
      <c r="G344" s="7" t="n">
        <v>2</v>
      </c>
      <c r="H344" s="6" t="n">
        <v>71.349</v>
      </c>
      <c r="I344" s="6" t="n">
        <v>-1426.98</v>
      </c>
      <c r="J344" s="6" t="n">
        <v>-27.42</v>
      </c>
      <c r="K344" s="6" t="n">
        <v>-4.28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45267.426655093</v>
      </c>
      <c r="B345" s="2" t="s">
        <v>117</v>
      </c>
      <c r="C345" s="2" t="s">
        <v>889</v>
      </c>
      <c r="D345" s="2" t="s">
        <v>757</v>
      </c>
      <c r="E345" s="2" t="s">
        <v>96</v>
      </c>
      <c r="F345" s="2" t="s">
        <v>20</v>
      </c>
      <c r="G345" s="7" t="n">
        <v>1</v>
      </c>
      <c r="H345" s="6" t="n">
        <v>72.27</v>
      </c>
      <c r="I345" s="6" t="n">
        <v>-722.7</v>
      </c>
      <c r="J345" s="6" t="n">
        <v>-12.77</v>
      </c>
      <c r="K345" s="6" t="n">
        <v>-2.17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1" t="n">
        <v>45268.514965278</v>
      </c>
      <c r="B346" s="22" t="s">
        <v>891</v>
      </c>
      <c r="C346" s="22" t="s">
        <v>978</v>
      </c>
      <c r="D346" s="22" t="s">
        <v>891</v>
      </c>
      <c r="E346" s="22" t="s">
        <v>891</v>
      </c>
      <c r="F346" s="22" t="s">
        <v>20</v>
      </c>
      <c r="G346" s="23" t="n">
        <v>1</v>
      </c>
      <c r="H346" s="24" t="n">
        <v>1</v>
      </c>
      <c r="I346" s="24" t="n">
        <v>389.4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4"/>
      <c r="O346" s="22"/>
    </row>
    <row collapsed="false" customFormat="false" customHeight="false" hidden="false" ht="12.1" outlineLevel="0" r="347">
      <c r="A347" s="21" t="n">
        <v>45268.545138889</v>
      </c>
      <c r="B347" s="22" t="s">
        <v>891</v>
      </c>
      <c r="C347" s="22" t="s">
        <v>1015</v>
      </c>
      <c r="D347" s="22" t="s">
        <v>891</v>
      </c>
      <c r="E347" s="22" t="s">
        <v>891</v>
      </c>
      <c r="F347" s="22" t="s">
        <v>20</v>
      </c>
      <c r="G347" s="23" t="n">
        <v>1</v>
      </c>
      <c r="H347" s="24" t="n">
        <v>1</v>
      </c>
      <c r="I347" s="24" t="n">
        <v>135.33</v>
      </c>
      <c r="J347" s="24" t="n">
        <v>0</v>
      </c>
      <c r="K347" s="24" t="n">
        <v>0</v>
      </c>
      <c r="L347" s="24" t="n">
        <v>0</v>
      </c>
      <c r="M347" s="6" t="s">
        <f>=I347+J347+K347+L347</f>
      </c>
      <c r="N347" s="24"/>
      <c r="O347" s="22"/>
    </row>
    <row collapsed="false" customFormat="false" customHeight="false" hidden="false" ht="12.1" outlineLevel="0" r="348">
      <c r="A348" s="21" t="n">
        <v>45268.741493056</v>
      </c>
      <c r="B348" s="22" t="s">
        <v>891</v>
      </c>
      <c r="C348" s="22" t="s">
        <v>934</v>
      </c>
      <c r="D348" s="22" t="s">
        <v>891</v>
      </c>
      <c r="E348" s="22" t="s">
        <v>891</v>
      </c>
      <c r="F348" s="22" t="s">
        <v>20</v>
      </c>
      <c r="G348" s="23" t="n">
        <v>1</v>
      </c>
      <c r="H348" s="24" t="n">
        <v>1</v>
      </c>
      <c r="I348" s="24" t="n">
        <v>19.87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1" t="n">
        <v>45268.742384259</v>
      </c>
      <c r="B349" s="22" t="s">
        <v>891</v>
      </c>
      <c r="C349" s="22" t="s">
        <v>977</v>
      </c>
      <c r="D349" s="22" t="s">
        <v>891</v>
      </c>
      <c r="E349" s="22" t="s">
        <v>891</v>
      </c>
      <c r="F349" s="22" t="s">
        <v>20</v>
      </c>
      <c r="G349" s="23" t="n">
        <v>1</v>
      </c>
      <c r="H349" s="24" t="n">
        <v>1</v>
      </c>
      <c r="I349" s="24" t="n">
        <v>32.66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2"/>
    </row>
    <row collapsed="false" customFormat="false" customHeight="false" hidden="false" ht="12.1" outlineLevel="0" r="350">
      <c r="A350" s="21" t="n">
        <v>45273.373298611</v>
      </c>
      <c r="B350" s="22" t="s">
        <v>891</v>
      </c>
      <c r="C350" s="22" t="s">
        <v>979</v>
      </c>
      <c r="D350" s="22" t="s">
        <v>891</v>
      </c>
      <c r="E350" s="22" t="s">
        <v>891</v>
      </c>
      <c r="F350" s="22" t="s">
        <v>20</v>
      </c>
      <c r="G350" s="23" t="n">
        <v>1</v>
      </c>
      <c r="H350" s="24" t="n">
        <v>1</v>
      </c>
      <c r="I350" s="24" t="n">
        <v>31.3</v>
      </c>
      <c r="J350" s="24" t="n">
        <v>0</v>
      </c>
      <c r="K350" s="24" t="n">
        <v>0</v>
      </c>
      <c r="L350" s="24" t="n">
        <v>0</v>
      </c>
      <c r="M350" s="6" t="s">
        <f>=I350+J350+K350+L350</f>
      </c>
      <c r="N350" s="24"/>
      <c r="O350" s="22"/>
    </row>
    <row collapsed="false" customFormat="false" customHeight="false" hidden="false" ht="12.1" outlineLevel="0" r="351">
      <c r="A351" s="21" t="n">
        <v>45273.373958333</v>
      </c>
      <c r="B351" s="22" t="s">
        <v>901</v>
      </c>
      <c r="C351" s="22" t="s">
        <v>1016</v>
      </c>
      <c r="D351" s="22" t="s">
        <v>901</v>
      </c>
      <c r="E351" s="22" t="s">
        <v>901</v>
      </c>
      <c r="F351" s="22" t="s">
        <v>20</v>
      </c>
      <c r="G351" s="23" t="n">
        <v>1</v>
      </c>
      <c r="H351" s="24" t="n">
        <v>1</v>
      </c>
      <c r="I351" s="24" t="n">
        <v>35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4"/>
      <c r="O351" s="22"/>
    </row>
    <row collapsed="false" customFormat="false" customHeight="false" hidden="false" ht="12.1" outlineLevel="0" r="352">
      <c r="A352" s="21" t="n">
        <v>45278.504375</v>
      </c>
      <c r="B352" s="22" t="s">
        <v>891</v>
      </c>
      <c r="C352" s="22" t="s">
        <v>1017</v>
      </c>
      <c r="D352" s="22" t="s">
        <v>891</v>
      </c>
      <c r="E352" s="22" t="s">
        <v>891</v>
      </c>
      <c r="F352" s="22" t="s">
        <v>20</v>
      </c>
      <c r="G352" s="23" t="n">
        <v>1</v>
      </c>
      <c r="H352" s="24" t="n">
        <v>1</v>
      </c>
      <c r="I352" s="24" t="n">
        <v>108.93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2"/>
    </row>
    <row collapsed="false" customFormat="false" customHeight="false" hidden="false" ht="12.1" outlineLevel="0" r="353">
      <c r="A353" s="25" t="n">
        <v>45278.504375</v>
      </c>
      <c r="B353" s="26" t="s">
        <v>917</v>
      </c>
      <c r="C353" s="26" t="s">
        <v>1018</v>
      </c>
      <c r="D353" s="26" t="s">
        <v>917</v>
      </c>
      <c r="E353" s="26" t="s">
        <v>917</v>
      </c>
      <c r="F353" s="26" t="s">
        <v>20</v>
      </c>
      <c r="G353" s="27" t="n">
        <v>1</v>
      </c>
      <c r="H353" s="28" t="n">
        <v>-14</v>
      </c>
      <c r="I353" s="28" t="n">
        <v>-14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1" t="n">
        <v>45281.695243056</v>
      </c>
      <c r="B354" s="22" t="s">
        <v>891</v>
      </c>
      <c r="C354" s="22" t="s">
        <v>941</v>
      </c>
      <c r="D354" s="22" t="s">
        <v>891</v>
      </c>
      <c r="E354" s="22" t="s">
        <v>891</v>
      </c>
      <c r="F354" s="22" t="s">
        <v>20</v>
      </c>
      <c r="G354" s="23" t="n">
        <v>1</v>
      </c>
      <c r="H354" s="24" t="n">
        <v>1</v>
      </c>
      <c r="I354" s="24" t="n">
        <v>131.94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21" t="n">
        <v>45285.746041667</v>
      </c>
      <c r="B355" s="22" t="s">
        <v>891</v>
      </c>
      <c r="C355" s="22" t="s">
        <v>1002</v>
      </c>
      <c r="D355" s="22" t="s">
        <v>891</v>
      </c>
      <c r="E355" s="22" t="s">
        <v>891</v>
      </c>
      <c r="F355" s="22" t="s">
        <v>20</v>
      </c>
      <c r="G355" s="23" t="n">
        <v>1</v>
      </c>
      <c r="H355" s="24" t="n">
        <v>1</v>
      </c>
      <c r="I355" s="24" t="n">
        <v>25.92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45288.288020833</v>
      </c>
      <c r="B356" s="22" t="s">
        <v>901</v>
      </c>
      <c r="C356" s="22" t="s">
        <v>1003</v>
      </c>
      <c r="D356" s="22" t="s">
        <v>901</v>
      </c>
      <c r="E356" s="22" t="s">
        <v>901</v>
      </c>
      <c r="F356" s="22" t="s">
        <v>20</v>
      </c>
      <c r="G356" s="23" t="n">
        <v>1</v>
      </c>
      <c r="H356" s="24" t="n">
        <v>1</v>
      </c>
      <c r="I356" s="24" t="n">
        <v>75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1" t="n">
        <v>45288.288761574</v>
      </c>
      <c r="B357" s="22" t="s">
        <v>891</v>
      </c>
      <c r="C357" s="22" t="s">
        <v>1004</v>
      </c>
      <c r="D357" s="22" t="s">
        <v>891</v>
      </c>
      <c r="E357" s="22" t="s">
        <v>891</v>
      </c>
      <c r="F357" s="22" t="s">
        <v>20</v>
      </c>
      <c r="G357" s="23" t="n">
        <v>1</v>
      </c>
      <c r="H357" s="24" t="n">
        <v>1</v>
      </c>
      <c r="I357" s="24" t="n">
        <v>19.63</v>
      </c>
      <c r="J357" s="24" t="n">
        <v>0</v>
      </c>
      <c r="K357" s="24" t="n">
        <v>0</v>
      </c>
      <c r="L357" s="24" t="n">
        <v>0</v>
      </c>
      <c r="M357" s="6" t="s">
        <f>=I357+J357+K357+L357</f>
      </c>
      <c r="N357" s="24"/>
      <c r="O357" s="22"/>
    </row>
    <row collapsed="false" customFormat="false" customHeight="false" hidden="false" ht="12.1" outlineLevel="0" r="358">
      <c r="A358" s="21" t="n">
        <v>45300.855428241</v>
      </c>
      <c r="B358" s="22" t="s">
        <v>891</v>
      </c>
      <c r="C358" s="22" t="s">
        <v>1019</v>
      </c>
      <c r="D358" s="22" t="s">
        <v>891</v>
      </c>
      <c r="E358" s="22" t="s">
        <v>891</v>
      </c>
      <c r="F358" s="22" t="s">
        <v>20</v>
      </c>
      <c r="G358" s="23" t="n">
        <v>1</v>
      </c>
      <c r="H358" s="24" t="n">
        <v>1</v>
      </c>
      <c r="I358" s="24" t="n">
        <v>65.82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9" t="n">
        <v>45301.635613426</v>
      </c>
      <c r="B359" s="30" t="s">
        <v>764</v>
      </c>
      <c r="C359" s="30" t="s">
        <v>903</v>
      </c>
      <c r="D359" s="30" t="s">
        <v>770</v>
      </c>
      <c r="E359" s="30" t="s">
        <v>18</v>
      </c>
      <c r="F359" s="30" t="s">
        <v>20</v>
      </c>
      <c r="G359" s="31" t="n">
        <v>-1</v>
      </c>
      <c r="H359" s="32" t="n">
        <v>314.5</v>
      </c>
      <c r="I359" s="32" t="n">
        <v>314.5</v>
      </c>
      <c r="J359" s="32" t="n">
        <v>0</v>
      </c>
      <c r="K359" s="32" t="n">
        <v>-0.94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1" t="n">
        <v>45302.745868056</v>
      </c>
      <c r="B360" s="22" t="s">
        <v>891</v>
      </c>
      <c r="C360" s="22" t="s">
        <v>900</v>
      </c>
      <c r="D360" s="22" t="s">
        <v>891</v>
      </c>
      <c r="E360" s="22" t="s">
        <v>891</v>
      </c>
      <c r="F360" s="22" t="s">
        <v>20</v>
      </c>
      <c r="G360" s="23" t="n">
        <v>1</v>
      </c>
      <c r="H360" s="24" t="n">
        <v>1</v>
      </c>
      <c r="I360" s="24" t="n">
        <v>13.96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45303.532418981</v>
      </c>
      <c r="B361" s="22" t="s">
        <v>884</v>
      </c>
      <c r="C361" s="22" t="s">
        <v>336</v>
      </c>
      <c r="D361" s="22" t="s">
        <v>884</v>
      </c>
      <c r="E361" s="22" t="s">
        <v>884</v>
      </c>
      <c r="F361" s="22" t="s">
        <v>20</v>
      </c>
      <c r="G361" s="23" t="n">
        <v>1</v>
      </c>
      <c r="H361" s="24" t="n">
        <v>1</v>
      </c>
      <c r="I361" s="24" t="n">
        <v>5800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45303.533240741</v>
      </c>
      <c r="B362" s="22" t="s">
        <v>884</v>
      </c>
      <c r="C362" s="22" t="s">
        <v>336</v>
      </c>
      <c r="D362" s="22" t="s">
        <v>884</v>
      </c>
      <c r="E362" s="22" t="s">
        <v>884</v>
      </c>
      <c r="F362" s="22" t="s">
        <v>20</v>
      </c>
      <c r="G362" s="23" t="n">
        <v>1</v>
      </c>
      <c r="H362" s="24" t="n">
        <v>1</v>
      </c>
      <c r="I362" s="24" t="n">
        <v>5000</v>
      </c>
      <c r="J362" s="24" t="n">
        <v>0</v>
      </c>
      <c r="K362" s="24" t="n">
        <v>0</v>
      </c>
      <c r="L362" s="24" t="n">
        <v>0</v>
      </c>
      <c r="M362" s="6" t="s">
        <f>=I362+J362+K362+L362</f>
      </c>
      <c r="N362" s="24"/>
      <c r="O362" s="22"/>
    </row>
    <row collapsed="false" customFormat="false" customHeight="false" hidden="false" ht="12.1" outlineLevel="0" r="363">
      <c r="A363" s="20" t="n">
        <v>45303.540011574</v>
      </c>
      <c r="B363" s="2" t="s">
        <v>99</v>
      </c>
      <c r="C363" s="2" t="s">
        <v>897</v>
      </c>
      <c r="D363" s="2" t="s">
        <v>757</v>
      </c>
      <c r="E363" s="2" t="s">
        <v>96</v>
      </c>
      <c r="F363" s="2" t="s">
        <v>20</v>
      </c>
      <c r="G363" s="7" t="n">
        <v>2</v>
      </c>
      <c r="H363" s="6" t="n">
        <v>104.499</v>
      </c>
      <c r="I363" s="6" t="n">
        <v>-2089.98</v>
      </c>
      <c r="J363" s="6" t="n">
        <v>-18.8</v>
      </c>
      <c r="K363" s="6" t="n">
        <v>-6.27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45303.540405093</v>
      </c>
      <c r="B364" s="2" t="s">
        <v>108</v>
      </c>
      <c r="C364" s="2" t="s">
        <v>938</v>
      </c>
      <c r="D364" s="2" t="s">
        <v>757</v>
      </c>
      <c r="E364" s="2" t="s">
        <v>96</v>
      </c>
      <c r="F364" s="2" t="s">
        <v>20</v>
      </c>
      <c r="G364" s="7" t="n">
        <v>2</v>
      </c>
      <c r="H364" s="6" t="n">
        <v>68.299</v>
      </c>
      <c r="I364" s="6" t="n">
        <v>-1365.98</v>
      </c>
      <c r="J364" s="6" t="n">
        <v>-58.3</v>
      </c>
      <c r="K364" s="6" t="n">
        <v>-4.1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0" t="n">
        <v>45303.540625</v>
      </c>
      <c r="B365" s="2" t="s">
        <v>111</v>
      </c>
      <c r="C365" s="2" t="s">
        <v>928</v>
      </c>
      <c r="D365" s="2" t="s">
        <v>757</v>
      </c>
      <c r="E365" s="2" t="s">
        <v>96</v>
      </c>
      <c r="F365" s="2" t="s">
        <v>20</v>
      </c>
      <c r="G365" s="7" t="n">
        <v>2</v>
      </c>
      <c r="H365" s="6" t="n">
        <v>70.697</v>
      </c>
      <c r="I365" s="6" t="n">
        <v>-1413.94</v>
      </c>
      <c r="J365" s="6" t="n">
        <v>-43.46</v>
      </c>
      <c r="K365" s="6" t="n">
        <v>-4.24</v>
      </c>
      <c r="L365" s="6" t="n">
        <v>0</v>
      </c>
      <c r="M365" s="6" t="s">
        <f>=I365+J365+K365+L365</f>
      </c>
      <c r="N365" s="6"/>
      <c r="O365" s="2"/>
    </row>
    <row collapsed="false" customFormat="false" customHeight="false" hidden="false" ht="12.1" outlineLevel="0" r="366">
      <c r="A366" s="20" t="n">
        <v>45303.540844907</v>
      </c>
      <c r="B366" s="2" t="s">
        <v>102</v>
      </c>
      <c r="C366" s="2" t="s">
        <v>935</v>
      </c>
      <c r="D366" s="2" t="s">
        <v>757</v>
      </c>
      <c r="E366" s="2" t="s">
        <v>96</v>
      </c>
      <c r="F366" s="2" t="s">
        <v>20</v>
      </c>
      <c r="G366" s="7" t="n">
        <v>2</v>
      </c>
      <c r="H366" s="6" t="n">
        <v>65</v>
      </c>
      <c r="I366" s="6" t="n">
        <v>-1300</v>
      </c>
      <c r="J366" s="6" t="n">
        <v>-15.56</v>
      </c>
      <c r="K366" s="6" t="n">
        <v>-3.9</v>
      </c>
      <c r="L366" s="6" t="n">
        <v>0</v>
      </c>
      <c r="M366" s="6" t="s">
        <f>=I366+J366+K366+L366</f>
      </c>
      <c r="N366" s="6"/>
      <c r="O366" s="2"/>
    </row>
    <row collapsed="false" customFormat="false" customHeight="false" hidden="false" ht="12.1" outlineLevel="0" r="367">
      <c r="A367" s="20" t="n">
        <v>45303.541122685</v>
      </c>
      <c r="B367" s="2" t="s">
        <v>120</v>
      </c>
      <c r="C367" s="2" t="s">
        <v>995</v>
      </c>
      <c r="D367" s="2" t="s">
        <v>757</v>
      </c>
      <c r="E367" s="2" t="s">
        <v>96</v>
      </c>
      <c r="F367" s="2" t="s">
        <v>20</v>
      </c>
      <c r="G367" s="7" t="n">
        <v>2</v>
      </c>
      <c r="H367" s="6" t="n">
        <v>85.798</v>
      </c>
      <c r="I367" s="6" t="n">
        <v>-1715.96</v>
      </c>
      <c r="J367" s="6" t="n">
        <v>-21.48</v>
      </c>
      <c r="K367" s="6" t="n">
        <v>-5.15</v>
      </c>
      <c r="L367" s="6" t="n">
        <v>0</v>
      </c>
      <c r="M367" s="6" t="s">
        <f>=I367+J367+K367+L367</f>
      </c>
      <c r="N367" s="6"/>
      <c r="O367" s="2"/>
    </row>
    <row collapsed="false" customFormat="false" customHeight="false" hidden="false" ht="12.1" outlineLevel="0" r="368">
      <c r="A368" s="20" t="n">
        <v>45303.541550926</v>
      </c>
      <c r="B368" s="2" t="s">
        <v>123</v>
      </c>
      <c r="C368" s="2" t="s">
        <v>1020</v>
      </c>
      <c r="D368" s="2" t="s">
        <v>757</v>
      </c>
      <c r="E368" s="2" t="s">
        <v>96</v>
      </c>
      <c r="F368" s="2" t="s">
        <v>20</v>
      </c>
      <c r="G368" s="7" t="n">
        <v>2</v>
      </c>
      <c r="H368" s="6" t="n">
        <v>87.195</v>
      </c>
      <c r="I368" s="6" t="n">
        <v>-1743.9</v>
      </c>
      <c r="J368" s="6" t="n">
        <v>-24.46</v>
      </c>
      <c r="K368" s="6" t="n">
        <v>-5.23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45303.541782407</v>
      </c>
      <c r="B369" s="2" t="s">
        <v>138</v>
      </c>
      <c r="C369" s="2" t="s">
        <v>1021</v>
      </c>
      <c r="D369" s="2" t="s">
        <v>757</v>
      </c>
      <c r="E369" s="2" t="s">
        <v>96</v>
      </c>
      <c r="F369" s="2" t="s">
        <v>20</v>
      </c>
      <c r="G369" s="7" t="n">
        <v>2</v>
      </c>
      <c r="H369" s="6" t="n">
        <v>96.4</v>
      </c>
      <c r="I369" s="6" t="n">
        <v>-1928</v>
      </c>
      <c r="J369" s="6" t="n">
        <v>-50.56</v>
      </c>
      <c r="K369" s="6" t="n">
        <v>-5.78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1" t="n">
        <v>45309.388622685</v>
      </c>
      <c r="B370" s="22" t="s">
        <v>891</v>
      </c>
      <c r="C370" s="22" t="s">
        <v>1022</v>
      </c>
      <c r="D370" s="22" t="s">
        <v>891</v>
      </c>
      <c r="E370" s="22" t="s">
        <v>891</v>
      </c>
      <c r="F370" s="22" t="s">
        <v>20</v>
      </c>
      <c r="G370" s="23" t="n">
        <v>1</v>
      </c>
      <c r="H370" s="24" t="n">
        <v>1</v>
      </c>
      <c r="I370" s="24" t="n">
        <v>44.88</v>
      </c>
      <c r="J370" s="24" t="n">
        <v>0</v>
      </c>
      <c r="K370" s="24" t="n">
        <v>0</v>
      </c>
      <c r="L370" s="24" t="n">
        <v>0</v>
      </c>
      <c r="M370" s="6" t="s">
        <f>=I370+J370+K370+L370</f>
      </c>
      <c r="N370" s="24"/>
      <c r="O370" s="22"/>
    </row>
    <row collapsed="false" customFormat="false" customHeight="false" hidden="false" ht="12.1" outlineLevel="0" r="371">
      <c r="A371" s="21" t="n">
        <v>45314.707534722</v>
      </c>
      <c r="B371" s="22" t="s">
        <v>891</v>
      </c>
      <c r="C371" s="22" t="s">
        <v>1002</v>
      </c>
      <c r="D371" s="22" t="s">
        <v>891</v>
      </c>
      <c r="E371" s="22" t="s">
        <v>891</v>
      </c>
      <c r="F371" s="22" t="s">
        <v>20</v>
      </c>
      <c r="G371" s="23" t="n">
        <v>1</v>
      </c>
      <c r="H371" s="24" t="n">
        <v>1</v>
      </c>
      <c r="I371" s="24" t="n">
        <v>27.98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2"/>
    </row>
    <row collapsed="false" customFormat="false" customHeight="false" hidden="false" ht="12.1" outlineLevel="0" r="372">
      <c r="A372" s="21" t="n">
        <v>45315.496770833</v>
      </c>
      <c r="B372" s="22" t="s">
        <v>891</v>
      </c>
      <c r="C372" s="22" t="s">
        <v>1023</v>
      </c>
      <c r="D372" s="22" t="s">
        <v>891</v>
      </c>
      <c r="E372" s="22" t="s">
        <v>891</v>
      </c>
      <c r="F372" s="22" t="s">
        <v>20</v>
      </c>
      <c r="G372" s="23" t="n">
        <v>1</v>
      </c>
      <c r="H372" s="24" t="n">
        <v>1</v>
      </c>
      <c r="I372" s="24" t="n">
        <v>34.28</v>
      </c>
      <c r="J372" s="24" t="n">
        <v>0</v>
      </c>
      <c r="K372" s="24" t="n">
        <v>0</v>
      </c>
      <c r="L372" s="24" t="n">
        <v>0</v>
      </c>
      <c r="M372" s="6" t="s">
        <f>=I372+J372+K372+L372</f>
      </c>
      <c r="N372" s="24"/>
      <c r="O372" s="22"/>
    </row>
    <row collapsed="false" customFormat="false" customHeight="false" hidden="false" ht="12.1" outlineLevel="0" r="373">
      <c r="A373" s="21" t="n">
        <v>45315.680023148</v>
      </c>
      <c r="B373" s="22" t="s">
        <v>891</v>
      </c>
      <c r="C373" s="22" t="s">
        <v>923</v>
      </c>
      <c r="D373" s="22" t="s">
        <v>891</v>
      </c>
      <c r="E373" s="22" t="s">
        <v>891</v>
      </c>
      <c r="F373" s="22" t="s">
        <v>20</v>
      </c>
      <c r="G373" s="23" t="n">
        <v>1</v>
      </c>
      <c r="H373" s="24" t="n">
        <v>1</v>
      </c>
      <c r="I373" s="24" t="n">
        <v>35.17</v>
      </c>
      <c r="J373" s="24" t="n">
        <v>0</v>
      </c>
      <c r="K373" s="24" t="n">
        <v>0</v>
      </c>
      <c r="L373" s="24" t="n">
        <v>0</v>
      </c>
      <c r="M373" s="6" t="s">
        <f>=I373+J373+K373+L373</f>
      </c>
      <c r="N373" s="24"/>
      <c r="O373" s="22"/>
    </row>
    <row collapsed="false" customFormat="false" customHeight="false" hidden="false" ht="12.1" outlineLevel="0" r="374">
      <c r="A374" s="25" t="n">
        <v>45315.680023148</v>
      </c>
      <c r="B374" s="26" t="s">
        <v>917</v>
      </c>
      <c r="C374" s="26" t="s">
        <v>922</v>
      </c>
      <c r="D374" s="26" t="s">
        <v>917</v>
      </c>
      <c r="E374" s="26" t="s">
        <v>917</v>
      </c>
      <c r="F374" s="26" t="s">
        <v>20</v>
      </c>
      <c r="G374" s="27" t="n">
        <v>1</v>
      </c>
      <c r="H374" s="28" t="n">
        <v>-5</v>
      </c>
      <c r="I374" s="28" t="n">
        <v>-5</v>
      </c>
      <c r="J374" s="28" t="n">
        <v>0</v>
      </c>
      <c r="K374" s="28" t="n">
        <v>0</v>
      </c>
      <c r="L374" s="28" t="n">
        <v>0</v>
      </c>
      <c r="M374" s="6" t="s">
        <f>=I374+J374+K374+L374</f>
      </c>
      <c r="N374" s="28"/>
      <c r="O374" s="26"/>
    </row>
    <row collapsed="false" customFormat="false" customHeight="false" hidden="false" ht="12.1" outlineLevel="0" r="375">
      <c r="A375" s="21" t="n">
        <v>45316.591030093</v>
      </c>
      <c r="B375" s="22" t="s">
        <v>891</v>
      </c>
      <c r="C375" s="22" t="s">
        <v>908</v>
      </c>
      <c r="D375" s="22" t="s">
        <v>891</v>
      </c>
      <c r="E375" s="22" t="s">
        <v>891</v>
      </c>
      <c r="F375" s="22" t="s">
        <v>20</v>
      </c>
      <c r="G375" s="23" t="n">
        <v>1</v>
      </c>
      <c r="H375" s="24" t="n">
        <v>1</v>
      </c>
      <c r="I375" s="24" t="n">
        <v>36.81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21" t="n">
        <v>45316.76494213</v>
      </c>
      <c r="B376" s="22" t="s">
        <v>891</v>
      </c>
      <c r="C376" s="22" t="s">
        <v>988</v>
      </c>
      <c r="D376" s="22" t="s">
        <v>891</v>
      </c>
      <c r="E376" s="22" t="s">
        <v>891</v>
      </c>
      <c r="F376" s="22" t="s">
        <v>20</v>
      </c>
      <c r="G376" s="23" t="n">
        <v>1</v>
      </c>
      <c r="H376" s="24" t="n">
        <v>1</v>
      </c>
      <c r="I376" s="24" t="n">
        <v>43.38</v>
      </c>
      <c r="J376" s="24" t="n">
        <v>0</v>
      </c>
      <c r="K376" s="24" t="n">
        <v>0</v>
      </c>
      <c r="L376" s="24" t="n">
        <v>0</v>
      </c>
      <c r="M376" s="6" t="s">
        <f>=I376+J376+K376+L376</f>
      </c>
      <c r="N376" s="24"/>
      <c r="O376" s="22"/>
    </row>
    <row collapsed="false" customFormat="false" customHeight="false" hidden="false" ht="12.1" outlineLevel="0" r="377">
      <c r="A377" s="21" t="n">
        <v>45316.778333333</v>
      </c>
      <c r="B377" s="22" t="s">
        <v>891</v>
      </c>
      <c r="C377" s="22" t="s">
        <v>1008</v>
      </c>
      <c r="D377" s="22" t="s">
        <v>891</v>
      </c>
      <c r="E377" s="22" t="s">
        <v>891</v>
      </c>
      <c r="F377" s="22" t="s">
        <v>20</v>
      </c>
      <c r="G377" s="23" t="n">
        <v>1</v>
      </c>
      <c r="H377" s="24" t="n">
        <v>1</v>
      </c>
      <c r="I377" s="24" t="n">
        <v>40.7</v>
      </c>
      <c r="J377" s="24" t="n">
        <v>0</v>
      </c>
      <c r="K377" s="24" t="n">
        <v>0</v>
      </c>
      <c r="L377" s="24" t="n">
        <v>0</v>
      </c>
      <c r="M377" s="6" t="s">
        <f>=I377+J377+K377+L377</f>
      </c>
      <c r="N377" s="24"/>
      <c r="O377" s="22"/>
    </row>
    <row collapsed="false" customFormat="false" customHeight="false" hidden="false" ht="12.1" outlineLevel="0" r="378">
      <c r="A378" s="21" t="n">
        <v>45320.638599537</v>
      </c>
      <c r="B378" s="22" t="s">
        <v>891</v>
      </c>
      <c r="C378" s="22" t="s">
        <v>1024</v>
      </c>
      <c r="D378" s="22" t="s">
        <v>891</v>
      </c>
      <c r="E378" s="22" t="s">
        <v>891</v>
      </c>
      <c r="F378" s="22" t="s">
        <v>20</v>
      </c>
      <c r="G378" s="23" t="n">
        <v>1</v>
      </c>
      <c r="H378" s="24" t="n">
        <v>1</v>
      </c>
      <c r="I378" s="24" t="n">
        <v>47.12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2"/>
    </row>
    <row collapsed="false" customFormat="false" customHeight="false" hidden="false" ht="12.1" outlineLevel="0" r="379">
      <c r="A379" s="21" t="n">
        <v>45323.363611111</v>
      </c>
      <c r="B379" s="22" t="s">
        <v>891</v>
      </c>
      <c r="C379" s="22" t="s">
        <v>945</v>
      </c>
      <c r="D379" s="22" t="s">
        <v>891</v>
      </c>
      <c r="E379" s="22" t="s">
        <v>891</v>
      </c>
      <c r="F379" s="22" t="s">
        <v>20</v>
      </c>
      <c r="G379" s="23" t="n">
        <v>1</v>
      </c>
      <c r="H379" s="24" t="n">
        <v>1</v>
      </c>
      <c r="I379" s="24" t="n">
        <v>28.22</v>
      </c>
      <c r="J379" s="24" t="n">
        <v>0</v>
      </c>
      <c r="K379" s="24" t="n">
        <v>0</v>
      </c>
      <c r="L379" s="24" t="n">
        <v>0</v>
      </c>
      <c r="M379" s="6" t="s">
        <f>=I379+J379+K379+L379</f>
      </c>
      <c r="N379" s="24"/>
      <c r="O379" s="22"/>
    </row>
    <row collapsed="false" customFormat="false" customHeight="false" hidden="false" ht="12.1" outlineLevel="0" r="380">
      <c r="A380" s="21" t="n">
        <v>45323.555613426</v>
      </c>
      <c r="B380" s="22" t="s">
        <v>891</v>
      </c>
      <c r="C380" s="22" t="s">
        <v>909</v>
      </c>
      <c r="D380" s="22" t="s">
        <v>891</v>
      </c>
      <c r="E380" s="22" t="s">
        <v>891</v>
      </c>
      <c r="F380" s="22" t="s">
        <v>20</v>
      </c>
      <c r="G380" s="23" t="n">
        <v>1</v>
      </c>
      <c r="H380" s="24" t="n">
        <v>1</v>
      </c>
      <c r="I380" s="24" t="n">
        <v>608.4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4"/>
      <c r="O380" s="22"/>
    </row>
    <row collapsed="false" customFormat="false" customHeight="false" hidden="false" ht="12.1" outlineLevel="0" r="381">
      <c r="A381" s="21" t="n">
        <v>45323.564907407</v>
      </c>
      <c r="B381" s="22" t="s">
        <v>891</v>
      </c>
      <c r="C381" s="22" t="s">
        <v>1009</v>
      </c>
      <c r="D381" s="22" t="s">
        <v>891</v>
      </c>
      <c r="E381" s="22" t="s">
        <v>891</v>
      </c>
      <c r="F381" s="22" t="s">
        <v>20</v>
      </c>
      <c r="G381" s="23" t="n">
        <v>1</v>
      </c>
      <c r="H381" s="24" t="n">
        <v>1</v>
      </c>
      <c r="I381" s="24" t="n">
        <v>37.33</v>
      </c>
      <c r="J381" s="24" t="n">
        <v>0</v>
      </c>
      <c r="K381" s="24" t="n">
        <v>0</v>
      </c>
      <c r="L381" s="24" t="n">
        <v>0</v>
      </c>
      <c r="M381" s="6" t="s">
        <f>=I381+J381+K381+L381</f>
      </c>
      <c r="N381" s="24"/>
      <c r="O381" s="22"/>
    </row>
    <row collapsed="false" customFormat="false" customHeight="false" hidden="false" ht="12.1" outlineLevel="0" r="382">
      <c r="A382" s="21" t="n">
        <v>45323.606354167</v>
      </c>
      <c r="B382" s="22" t="s">
        <v>891</v>
      </c>
      <c r="C382" s="22" t="s">
        <v>946</v>
      </c>
      <c r="D382" s="22" t="s">
        <v>891</v>
      </c>
      <c r="E382" s="22" t="s">
        <v>891</v>
      </c>
      <c r="F382" s="22" t="s">
        <v>20</v>
      </c>
      <c r="G382" s="23" t="n">
        <v>1</v>
      </c>
      <c r="H382" s="24" t="n">
        <v>1</v>
      </c>
      <c r="I382" s="24" t="n">
        <v>42.53</v>
      </c>
      <c r="J382" s="24" t="n">
        <v>0</v>
      </c>
      <c r="K382" s="24" t="n">
        <v>0</v>
      </c>
      <c r="L382" s="24" t="n">
        <v>0</v>
      </c>
      <c r="M382" s="6" t="s">
        <f>=I382+J382+K382+L382</f>
      </c>
      <c r="N382" s="24"/>
      <c r="O382" s="22"/>
    </row>
    <row collapsed="false" customFormat="false" customHeight="false" hidden="false" ht="12.1" outlineLevel="0" r="383">
      <c r="A383" s="21" t="n">
        <v>45324.4040625</v>
      </c>
      <c r="B383" s="22" t="s">
        <v>884</v>
      </c>
      <c r="C383" s="22" t="s">
        <v>336</v>
      </c>
      <c r="D383" s="22" t="s">
        <v>884</v>
      </c>
      <c r="E383" s="22" t="s">
        <v>884</v>
      </c>
      <c r="F383" s="22" t="s">
        <v>20</v>
      </c>
      <c r="G383" s="23" t="n">
        <v>1</v>
      </c>
      <c r="H383" s="24" t="n">
        <v>1</v>
      </c>
      <c r="I383" s="24" t="n">
        <v>11200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0" t="n">
        <v>45324.426319444</v>
      </c>
      <c r="B384" s="2" t="s">
        <v>17</v>
      </c>
      <c r="C384" s="2" t="s">
        <v>940</v>
      </c>
      <c r="D384" s="2" t="s">
        <v>757</v>
      </c>
      <c r="E384" s="2" t="s">
        <v>18</v>
      </c>
      <c r="F384" s="2" t="s">
        <v>20</v>
      </c>
      <c r="G384" s="7" t="n">
        <v>10</v>
      </c>
      <c r="H384" s="6" t="n">
        <v>276.83</v>
      </c>
      <c r="I384" s="6" t="n">
        <v>-2768.3</v>
      </c>
      <c r="J384" s="6" t="n">
        <v>0</v>
      </c>
      <c r="K384" s="6" t="n">
        <v>-8.3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45324.427280093</v>
      </c>
      <c r="B385" s="2" t="s">
        <v>17</v>
      </c>
      <c r="C385" s="2" t="s">
        <v>940</v>
      </c>
      <c r="D385" s="2" t="s">
        <v>757</v>
      </c>
      <c r="E385" s="2" t="s">
        <v>18</v>
      </c>
      <c r="F385" s="2" t="s">
        <v>20</v>
      </c>
      <c r="G385" s="7" t="n">
        <v>10</v>
      </c>
      <c r="H385" s="6" t="n">
        <v>276.55</v>
      </c>
      <c r="I385" s="6" t="n">
        <v>-2765.5</v>
      </c>
      <c r="J385" s="6" t="n">
        <v>0</v>
      </c>
      <c r="K385" s="6" t="n">
        <v>-8.3</v>
      </c>
      <c r="L385" s="6" t="n">
        <v>0</v>
      </c>
      <c r="M385" s="6" t="s">
        <f>=I385+J385+K385+L385</f>
      </c>
      <c r="N385" s="6"/>
      <c r="O385" s="2"/>
    </row>
    <row collapsed="false" customFormat="false" customHeight="false" hidden="false" ht="12.1" outlineLevel="0" r="386">
      <c r="A386" s="20" t="n">
        <v>45324.427696759</v>
      </c>
      <c r="B386" s="2" t="s">
        <v>17</v>
      </c>
      <c r="C386" s="2" t="s">
        <v>940</v>
      </c>
      <c r="D386" s="2" t="s">
        <v>757</v>
      </c>
      <c r="E386" s="2" t="s">
        <v>18</v>
      </c>
      <c r="F386" s="2" t="s">
        <v>20</v>
      </c>
      <c r="G386" s="7" t="n">
        <v>10</v>
      </c>
      <c r="H386" s="6" t="n">
        <v>276.67</v>
      </c>
      <c r="I386" s="6" t="n">
        <v>-2766.7</v>
      </c>
      <c r="J386" s="6" t="n">
        <v>0</v>
      </c>
      <c r="K386" s="6" t="n">
        <v>-8.3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45324.429201389</v>
      </c>
      <c r="B387" s="2" t="s">
        <v>37</v>
      </c>
      <c r="C387" s="2" t="s">
        <v>904</v>
      </c>
      <c r="D387" s="2" t="s">
        <v>757</v>
      </c>
      <c r="E387" s="2" t="s">
        <v>18</v>
      </c>
      <c r="F387" s="2" t="s">
        <v>20</v>
      </c>
      <c r="G387" s="7" t="n">
        <v>1</v>
      </c>
      <c r="H387" s="6" t="n">
        <v>726.1</v>
      </c>
      <c r="I387" s="6" t="n">
        <v>-726.1</v>
      </c>
      <c r="J387" s="6" t="n">
        <v>0</v>
      </c>
      <c r="K387" s="6" t="n">
        <v>-2.18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0" t="n">
        <v>45324.429594907</v>
      </c>
      <c r="B388" s="2" t="s">
        <v>46</v>
      </c>
      <c r="C388" s="2" t="s">
        <v>905</v>
      </c>
      <c r="D388" s="2" t="s">
        <v>757</v>
      </c>
      <c r="E388" s="2" t="s">
        <v>18</v>
      </c>
      <c r="F388" s="2" t="s">
        <v>20</v>
      </c>
      <c r="G388" s="7" t="n">
        <v>100</v>
      </c>
      <c r="H388" s="6" t="n">
        <v>4.053</v>
      </c>
      <c r="I388" s="6" t="n">
        <v>-405.3</v>
      </c>
      <c r="J388" s="6" t="n">
        <v>0</v>
      </c>
      <c r="K388" s="6" t="n">
        <v>-1.22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20" t="n">
        <v>45324.430717593</v>
      </c>
      <c r="B389" s="2" t="s">
        <v>49</v>
      </c>
      <c r="C389" s="2" t="s">
        <v>899</v>
      </c>
      <c r="D389" s="2" t="s">
        <v>757</v>
      </c>
      <c r="E389" s="2" t="s">
        <v>18</v>
      </c>
      <c r="F389" s="2" t="s">
        <v>20</v>
      </c>
      <c r="G389" s="7" t="n">
        <v>10000</v>
      </c>
      <c r="H389" s="6" t="n">
        <v>0.02454</v>
      </c>
      <c r="I389" s="6" t="n">
        <v>-245.4</v>
      </c>
      <c r="J389" s="6" t="n">
        <v>0</v>
      </c>
      <c r="K389" s="6" t="n">
        <v>-0.74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45324.431180556</v>
      </c>
      <c r="B390" s="2" t="s">
        <v>63</v>
      </c>
      <c r="C390" s="2" t="s">
        <v>962</v>
      </c>
      <c r="D390" s="2" t="s">
        <v>757</v>
      </c>
      <c r="E390" s="2" t="s">
        <v>18</v>
      </c>
      <c r="F390" s="2" t="s">
        <v>20</v>
      </c>
      <c r="G390" s="7" t="n">
        <v>10</v>
      </c>
      <c r="H390" s="6" t="n">
        <v>76.32</v>
      </c>
      <c r="I390" s="6" t="n">
        <v>-763.2</v>
      </c>
      <c r="J390" s="6" t="n">
        <v>0</v>
      </c>
      <c r="K390" s="6" t="n">
        <v>-2.29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45324.43162037</v>
      </c>
      <c r="B391" s="2" t="s">
        <v>68</v>
      </c>
      <c r="C391" s="2" t="s">
        <v>915</v>
      </c>
      <c r="D391" s="2" t="s">
        <v>757</v>
      </c>
      <c r="E391" s="2" t="s">
        <v>18</v>
      </c>
      <c r="F391" s="2" t="s">
        <v>20</v>
      </c>
      <c r="G391" s="7" t="n">
        <v>100</v>
      </c>
      <c r="H391" s="6" t="n">
        <v>7.807</v>
      </c>
      <c r="I391" s="6" t="n">
        <v>-780.7</v>
      </c>
      <c r="J391" s="6" t="n">
        <v>0</v>
      </c>
      <c r="K391" s="6" t="n">
        <v>-2.34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45324.433900463</v>
      </c>
      <c r="B392" s="2" t="s">
        <v>76</v>
      </c>
      <c r="C392" s="2" t="s">
        <v>1025</v>
      </c>
      <c r="D392" s="2" t="s">
        <v>757</v>
      </c>
      <c r="E392" s="2" t="s">
        <v>18</v>
      </c>
      <c r="F392" s="2" t="s">
        <v>20</v>
      </c>
      <c r="G392" s="7" t="n">
        <v>10</v>
      </c>
      <c r="H392" s="6" t="n">
        <v>141.69</v>
      </c>
      <c r="I392" s="6" t="n">
        <v>-1416.9</v>
      </c>
      <c r="J392" s="6" t="n">
        <v>0</v>
      </c>
      <c r="K392" s="6" t="n">
        <v>-4.25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1" t="n">
        <v>45329.278078704</v>
      </c>
      <c r="B393" s="22" t="s">
        <v>891</v>
      </c>
      <c r="C393" s="22" t="s">
        <v>947</v>
      </c>
      <c r="D393" s="22" t="s">
        <v>891</v>
      </c>
      <c r="E393" s="22" t="s">
        <v>891</v>
      </c>
      <c r="F393" s="22" t="s">
        <v>20</v>
      </c>
      <c r="G393" s="23" t="n">
        <v>1</v>
      </c>
      <c r="H393" s="24" t="n">
        <v>1</v>
      </c>
      <c r="I393" s="24" t="n">
        <v>53.1</v>
      </c>
      <c r="J393" s="24" t="n">
        <v>0</v>
      </c>
      <c r="K393" s="24" t="n">
        <v>0</v>
      </c>
      <c r="L393" s="24" t="n">
        <v>0</v>
      </c>
      <c r="M393" s="6" t="s">
        <f>=I393+J393+K393+L393</f>
      </c>
      <c r="N393" s="24"/>
      <c r="O393" s="22"/>
    </row>
    <row collapsed="false" customFormat="false" customHeight="false" hidden="false" ht="12.1" outlineLevel="0" r="394">
      <c r="A394" s="21" t="n">
        <v>45337.5221875</v>
      </c>
      <c r="B394" s="22" t="s">
        <v>891</v>
      </c>
      <c r="C394" s="22" t="s">
        <v>948</v>
      </c>
      <c r="D394" s="22" t="s">
        <v>891</v>
      </c>
      <c r="E394" s="22" t="s">
        <v>891</v>
      </c>
      <c r="F394" s="22" t="s">
        <v>20</v>
      </c>
      <c r="G394" s="23" t="n">
        <v>1</v>
      </c>
      <c r="H394" s="24" t="n">
        <v>1</v>
      </c>
      <c r="I394" s="24" t="n">
        <v>418.8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2"/>
    </row>
    <row collapsed="false" customFormat="false" customHeight="false" hidden="false" ht="12.1" outlineLevel="0" r="395">
      <c r="A395" s="21" t="n">
        <v>45341.639548611</v>
      </c>
      <c r="B395" s="22" t="s">
        <v>891</v>
      </c>
      <c r="C395" s="22" t="s">
        <v>1001</v>
      </c>
      <c r="D395" s="22" t="s">
        <v>891</v>
      </c>
      <c r="E395" s="22" t="s">
        <v>891</v>
      </c>
      <c r="F395" s="22" t="s">
        <v>20</v>
      </c>
      <c r="G395" s="23" t="n">
        <v>1</v>
      </c>
      <c r="H395" s="24" t="n">
        <v>1</v>
      </c>
      <c r="I395" s="24" t="n">
        <v>51.61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21" t="n">
        <v>45342.490011574</v>
      </c>
      <c r="B396" s="22" t="s">
        <v>891</v>
      </c>
      <c r="C396" s="22" t="s">
        <v>965</v>
      </c>
      <c r="D396" s="22" t="s">
        <v>891</v>
      </c>
      <c r="E396" s="22" t="s">
        <v>891</v>
      </c>
      <c r="F396" s="22" t="s">
        <v>20</v>
      </c>
      <c r="G396" s="23" t="n">
        <v>1</v>
      </c>
      <c r="H396" s="24" t="n">
        <v>1</v>
      </c>
      <c r="I396" s="24" t="n">
        <v>64.82</v>
      </c>
      <c r="J396" s="24" t="n">
        <v>0</v>
      </c>
      <c r="K396" s="24" t="n">
        <v>0</v>
      </c>
      <c r="L396" s="24" t="n">
        <v>0</v>
      </c>
      <c r="M396" s="6" t="s">
        <f>=I396+J396+K396+L396</f>
      </c>
      <c r="N396" s="24"/>
      <c r="O396" s="22"/>
    </row>
    <row collapsed="false" customFormat="false" customHeight="false" hidden="false" ht="12.1" outlineLevel="0" r="397">
      <c r="A397" s="21" t="n">
        <v>45344.564074074</v>
      </c>
      <c r="B397" s="22" t="s">
        <v>891</v>
      </c>
      <c r="C397" s="22" t="s">
        <v>892</v>
      </c>
      <c r="D397" s="22" t="s">
        <v>891</v>
      </c>
      <c r="E397" s="22" t="s">
        <v>891</v>
      </c>
      <c r="F397" s="22" t="s">
        <v>20</v>
      </c>
      <c r="G397" s="23" t="n">
        <v>1</v>
      </c>
      <c r="H397" s="24" t="n">
        <v>1</v>
      </c>
      <c r="I397" s="24" t="n">
        <v>5.36</v>
      </c>
      <c r="J397" s="24" t="n">
        <v>0</v>
      </c>
      <c r="K397" s="24" t="n">
        <v>0</v>
      </c>
      <c r="L397" s="24" t="n">
        <v>0</v>
      </c>
      <c r="M397" s="6" t="s">
        <f>=I397+J397+K397+L397</f>
      </c>
      <c r="N397" s="24"/>
      <c r="O397" s="22"/>
    </row>
    <row collapsed="false" customFormat="false" customHeight="false" hidden="false" ht="12.1" outlineLevel="0" r="398">
      <c r="A398" s="21" t="n">
        <v>45348.507766204</v>
      </c>
      <c r="B398" s="22" t="s">
        <v>901</v>
      </c>
      <c r="C398" s="22" t="s">
        <v>1026</v>
      </c>
      <c r="D398" s="22" t="s">
        <v>901</v>
      </c>
      <c r="E398" s="22" t="s">
        <v>901</v>
      </c>
      <c r="F398" s="22" t="s">
        <v>20</v>
      </c>
      <c r="G398" s="23" t="n">
        <v>1</v>
      </c>
      <c r="H398" s="24" t="n">
        <v>1</v>
      </c>
      <c r="I398" s="24" t="n">
        <v>125</v>
      </c>
      <c r="J398" s="24" t="n">
        <v>0</v>
      </c>
      <c r="K398" s="24" t="n">
        <v>0</v>
      </c>
      <c r="L398" s="24" t="n">
        <v>0</v>
      </c>
      <c r="M398" s="6" t="s">
        <f>=I398+J398+K398+L398</f>
      </c>
      <c r="N398" s="24"/>
      <c r="O398" s="22"/>
    </row>
    <row collapsed="false" customFormat="false" customHeight="false" hidden="false" ht="12.1" outlineLevel="0" r="399">
      <c r="A399" s="21" t="n">
        <v>45348.508842593</v>
      </c>
      <c r="B399" s="22" t="s">
        <v>891</v>
      </c>
      <c r="C399" s="22" t="s">
        <v>970</v>
      </c>
      <c r="D399" s="22" t="s">
        <v>891</v>
      </c>
      <c r="E399" s="22" t="s">
        <v>891</v>
      </c>
      <c r="F399" s="22" t="s">
        <v>20</v>
      </c>
      <c r="G399" s="23" t="n">
        <v>1</v>
      </c>
      <c r="H399" s="24" t="n">
        <v>1</v>
      </c>
      <c r="I399" s="24" t="n">
        <v>10.83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1" t="n">
        <v>45348.536018519</v>
      </c>
      <c r="B400" s="22" t="s">
        <v>891</v>
      </c>
      <c r="C400" s="22" t="s">
        <v>1002</v>
      </c>
      <c r="D400" s="22" t="s">
        <v>891</v>
      </c>
      <c r="E400" s="22" t="s">
        <v>891</v>
      </c>
      <c r="F400" s="22" t="s">
        <v>20</v>
      </c>
      <c r="G400" s="23" t="n">
        <v>1</v>
      </c>
      <c r="H400" s="24" t="n">
        <v>1</v>
      </c>
      <c r="I400" s="24" t="n">
        <v>28.6</v>
      </c>
      <c r="J400" s="24" t="n">
        <v>0</v>
      </c>
      <c r="K400" s="24" t="n">
        <v>0</v>
      </c>
      <c r="L400" s="24" t="n">
        <v>0</v>
      </c>
      <c r="M400" s="6" t="s">
        <f>=I400+J400+K400+L400</f>
      </c>
      <c r="N400" s="24"/>
      <c r="O400" s="22"/>
    </row>
    <row collapsed="false" customFormat="false" customHeight="false" hidden="false" ht="12.1" outlineLevel="0" r="401">
      <c r="A401" s="21" t="n">
        <v>45351.541527778</v>
      </c>
      <c r="B401" s="22" t="s">
        <v>884</v>
      </c>
      <c r="C401" s="22" t="s">
        <v>336</v>
      </c>
      <c r="D401" s="22" t="s">
        <v>884</v>
      </c>
      <c r="E401" s="22" t="s">
        <v>884</v>
      </c>
      <c r="F401" s="22" t="s">
        <v>20</v>
      </c>
      <c r="G401" s="23" t="n">
        <v>1</v>
      </c>
      <c r="H401" s="24" t="n">
        <v>1</v>
      </c>
      <c r="I401" s="24" t="n">
        <v>11000</v>
      </c>
      <c r="J401" s="24" t="n">
        <v>0</v>
      </c>
      <c r="K401" s="24" t="n">
        <v>0</v>
      </c>
      <c r="L401" s="24" t="n">
        <v>0</v>
      </c>
      <c r="M401" s="6" t="s">
        <f>=I401+J401+K401+L401</f>
      </c>
      <c r="N401" s="24"/>
      <c r="O401" s="22"/>
    </row>
    <row collapsed="false" customFormat="false" customHeight="false" hidden="false" ht="12.1" outlineLevel="0" r="402">
      <c r="A402" s="20" t="n">
        <v>45351.696643519</v>
      </c>
      <c r="B402" s="2" t="s">
        <v>99</v>
      </c>
      <c r="C402" s="2" t="s">
        <v>897</v>
      </c>
      <c r="D402" s="2" t="s">
        <v>757</v>
      </c>
      <c r="E402" s="2" t="s">
        <v>96</v>
      </c>
      <c r="F402" s="2" t="s">
        <v>20</v>
      </c>
      <c r="G402" s="7" t="n">
        <v>1</v>
      </c>
      <c r="H402" s="6" t="n">
        <v>104.585</v>
      </c>
      <c r="I402" s="6" t="n">
        <v>-1045.85</v>
      </c>
      <c r="J402" s="6" t="n">
        <v>-26.02</v>
      </c>
      <c r="K402" s="6" t="n">
        <v>-3.14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45351.69712963</v>
      </c>
      <c r="B403" s="2" t="s">
        <v>120</v>
      </c>
      <c r="C403" s="2" t="s">
        <v>995</v>
      </c>
      <c r="D403" s="2" t="s">
        <v>757</v>
      </c>
      <c r="E403" s="2" t="s">
        <v>96</v>
      </c>
      <c r="F403" s="2" t="s">
        <v>20</v>
      </c>
      <c r="G403" s="7" t="n">
        <v>1</v>
      </c>
      <c r="H403" s="6" t="n">
        <v>82.998</v>
      </c>
      <c r="I403" s="6" t="n">
        <v>-829.98</v>
      </c>
      <c r="J403" s="6" t="n">
        <v>-23.09</v>
      </c>
      <c r="K403" s="6" t="n">
        <v>-2.49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45351.697476852</v>
      </c>
      <c r="B404" s="2" t="s">
        <v>138</v>
      </c>
      <c r="C404" s="2" t="s">
        <v>1021</v>
      </c>
      <c r="D404" s="2" t="s">
        <v>757</v>
      </c>
      <c r="E404" s="2" t="s">
        <v>96</v>
      </c>
      <c r="F404" s="2" t="s">
        <v>20</v>
      </c>
      <c r="G404" s="7" t="n">
        <v>1</v>
      </c>
      <c r="H404" s="6" t="n">
        <v>94.1</v>
      </c>
      <c r="I404" s="6" t="n">
        <v>-941</v>
      </c>
      <c r="J404" s="6" t="n">
        <v>-39.46</v>
      </c>
      <c r="K404" s="6" t="n">
        <v>-2.82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45351.697766204</v>
      </c>
      <c r="B405" s="2" t="s">
        <v>108</v>
      </c>
      <c r="C405" s="2" t="s">
        <v>938</v>
      </c>
      <c r="D405" s="2" t="s">
        <v>757</v>
      </c>
      <c r="E405" s="2" t="s">
        <v>96</v>
      </c>
      <c r="F405" s="2" t="s">
        <v>20</v>
      </c>
      <c r="G405" s="7" t="n">
        <v>1</v>
      </c>
      <c r="H405" s="6" t="n">
        <v>67.5</v>
      </c>
      <c r="I405" s="6" t="n">
        <v>-675</v>
      </c>
      <c r="J405" s="6" t="n">
        <v>-3.0700000000001</v>
      </c>
      <c r="K405" s="6" t="n">
        <v>-2.03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45351.698101852</v>
      </c>
      <c r="B406" s="2" t="s">
        <v>111</v>
      </c>
      <c r="C406" s="2" t="s">
        <v>928</v>
      </c>
      <c r="D406" s="2" t="s">
        <v>757</v>
      </c>
      <c r="E406" s="2" t="s">
        <v>96</v>
      </c>
      <c r="F406" s="2" t="s">
        <v>20</v>
      </c>
      <c r="G406" s="7" t="n">
        <v>1</v>
      </c>
      <c r="H406" s="6" t="n">
        <v>69.699</v>
      </c>
      <c r="I406" s="6" t="n">
        <v>-696.99</v>
      </c>
      <c r="J406" s="6" t="n">
        <v>-31.43</v>
      </c>
      <c r="K406" s="6" t="n">
        <v>-2.09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45351.6984375</v>
      </c>
      <c r="B407" s="2" t="s">
        <v>123</v>
      </c>
      <c r="C407" s="2" t="s">
        <v>1020</v>
      </c>
      <c r="D407" s="2" t="s">
        <v>757</v>
      </c>
      <c r="E407" s="2" t="s">
        <v>96</v>
      </c>
      <c r="F407" s="2" t="s">
        <v>20</v>
      </c>
      <c r="G407" s="7" t="n">
        <v>1</v>
      </c>
      <c r="H407" s="6" t="n">
        <v>86.147</v>
      </c>
      <c r="I407" s="6" t="n">
        <v>-861.47</v>
      </c>
      <c r="J407" s="6" t="n">
        <v>-24.21</v>
      </c>
      <c r="K407" s="6" t="n">
        <v>-2.58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45351.698865741</v>
      </c>
      <c r="B408" s="2" t="s">
        <v>114</v>
      </c>
      <c r="C408" s="2" t="s">
        <v>964</v>
      </c>
      <c r="D408" s="2" t="s">
        <v>757</v>
      </c>
      <c r="E408" s="2" t="s">
        <v>96</v>
      </c>
      <c r="F408" s="2" t="s">
        <v>20</v>
      </c>
      <c r="G408" s="7" t="n">
        <v>1</v>
      </c>
      <c r="H408" s="6" t="n">
        <v>81.388</v>
      </c>
      <c r="I408" s="6" t="n">
        <v>-813.88</v>
      </c>
      <c r="J408" s="6" t="n">
        <v>-28.3</v>
      </c>
      <c r="K408" s="6" t="n">
        <v>-2.44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45351.699467593</v>
      </c>
      <c r="B409" s="2" t="s">
        <v>126</v>
      </c>
      <c r="C409" s="2" t="s">
        <v>1027</v>
      </c>
      <c r="D409" s="2" t="s">
        <v>757</v>
      </c>
      <c r="E409" s="2" t="s">
        <v>96</v>
      </c>
      <c r="F409" s="2" t="s">
        <v>20</v>
      </c>
      <c r="G409" s="7" t="n">
        <v>1</v>
      </c>
      <c r="H409" s="6" t="n">
        <v>82.687</v>
      </c>
      <c r="I409" s="6" t="n">
        <v>-826.87</v>
      </c>
      <c r="J409" s="6" t="n">
        <v>-36.33</v>
      </c>
      <c r="K409" s="6" t="n">
        <v>-2.48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45351.700381944</v>
      </c>
      <c r="B410" s="2" t="s">
        <v>111</v>
      </c>
      <c r="C410" s="2" t="s">
        <v>928</v>
      </c>
      <c r="D410" s="2" t="s">
        <v>757</v>
      </c>
      <c r="E410" s="2" t="s">
        <v>96</v>
      </c>
      <c r="F410" s="2" t="s">
        <v>20</v>
      </c>
      <c r="G410" s="7" t="n">
        <v>1</v>
      </c>
      <c r="H410" s="6" t="n">
        <v>69.695</v>
      </c>
      <c r="I410" s="6" t="n">
        <v>-696.95</v>
      </c>
      <c r="J410" s="6" t="n">
        <v>-31.43</v>
      </c>
      <c r="K410" s="6" t="n">
        <v>-2.09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45351.70068287</v>
      </c>
      <c r="B411" s="2" t="s">
        <v>102</v>
      </c>
      <c r="C411" s="2" t="s">
        <v>935</v>
      </c>
      <c r="D411" s="2" t="s">
        <v>757</v>
      </c>
      <c r="E411" s="2" t="s">
        <v>96</v>
      </c>
      <c r="F411" s="2" t="s">
        <v>20</v>
      </c>
      <c r="G411" s="7" t="n">
        <v>1</v>
      </c>
      <c r="H411" s="6" t="n">
        <v>64.239</v>
      </c>
      <c r="I411" s="6" t="n">
        <v>-642.39</v>
      </c>
      <c r="J411" s="6" t="n">
        <v>-16.73</v>
      </c>
      <c r="K411" s="6" t="n">
        <v>-1.93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45351.70130787</v>
      </c>
      <c r="B412" s="2" t="s">
        <v>95</v>
      </c>
      <c r="C412" s="2" t="s">
        <v>893</v>
      </c>
      <c r="D412" s="2" t="s">
        <v>757</v>
      </c>
      <c r="E412" s="2" t="s">
        <v>96</v>
      </c>
      <c r="F412" s="2" t="s">
        <v>20</v>
      </c>
      <c r="G412" s="7" t="n">
        <v>1</v>
      </c>
      <c r="H412" s="6" t="n">
        <v>63.8</v>
      </c>
      <c r="I412" s="6" t="n">
        <v>-638</v>
      </c>
      <c r="J412" s="6" t="n">
        <v>-5.01</v>
      </c>
      <c r="K412" s="6" t="n">
        <v>-1.91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45351.702025463</v>
      </c>
      <c r="B413" s="2" t="s">
        <v>95</v>
      </c>
      <c r="C413" s="2" t="s">
        <v>893</v>
      </c>
      <c r="D413" s="2" t="s">
        <v>757</v>
      </c>
      <c r="E413" s="2" t="s">
        <v>96</v>
      </c>
      <c r="F413" s="2" t="s">
        <v>20</v>
      </c>
      <c r="G413" s="7" t="n">
        <v>4</v>
      </c>
      <c r="H413" s="6" t="n">
        <v>63.8</v>
      </c>
      <c r="I413" s="6" t="n">
        <v>-2552</v>
      </c>
      <c r="J413" s="6" t="n">
        <v>-20.04</v>
      </c>
      <c r="K413" s="6" t="n">
        <v>-7.66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1" t="n">
        <v>45355.568275463</v>
      </c>
      <c r="B414" s="22" t="s">
        <v>891</v>
      </c>
      <c r="C414" s="22" t="s">
        <v>933</v>
      </c>
      <c r="D414" s="22" t="s">
        <v>891</v>
      </c>
      <c r="E414" s="22" t="s">
        <v>891</v>
      </c>
      <c r="F414" s="22" t="s">
        <v>20</v>
      </c>
      <c r="G414" s="23" t="n">
        <v>1</v>
      </c>
      <c r="H414" s="24" t="n">
        <v>1</v>
      </c>
      <c r="I414" s="24" t="n">
        <v>24.81</v>
      </c>
      <c r="J414" s="24" t="n">
        <v>0</v>
      </c>
      <c r="K414" s="24" t="n">
        <v>0</v>
      </c>
      <c r="L414" s="24" t="n">
        <v>0</v>
      </c>
      <c r="M414" s="6" t="s">
        <f>=I414+J414+K414+L414</f>
      </c>
      <c r="N414" s="24"/>
      <c r="O414" s="22"/>
    </row>
    <row collapsed="false" customFormat="false" customHeight="false" hidden="false" ht="12.1" outlineLevel="0" r="415">
      <c r="A415" s="21" t="n">
        <v>45356.5375</v>
      </c>
      <c r="B415" s="22" t="s">
        <v>884</v>
      </c>
      <c r="C415" s="22" t="s">
        <v>336</v>
      </c>
      <c r="D415" s="22" t="s">
        <v>884</v>
      </c>
      <c r="E415" s="22" t="s">
        <v>884</v>
      </c>
      <c r="F415" s="22" t="s">
        <v>20</v>
      </c>
      <c r="G415" s="23" t="n">
        <v>1</v>
      </c>
      <c r="H415" s="24" t="n">
        <v>1</v>
      </c>
      <c r="I415" s="24" t="n">
        <v>16605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45356.59599537</v>
      </c>
      <c r="B416" s="2" t="s">
        <v>37</v>
      </c>
      <c r="C416" s="2" t="s">
        <v>904</v>
      </c>
      <c r="D416" s="2" t="s">
        <v>757</v>
      </c>
      <c r="E416" s="2" t="s">
        <v>18</v>
      </c>
      <c r="F416" s="2" t="s">
        <v>20</v>
      </c>
      <c r="G416" s="7" t="n">
        <v>2</v>
      </c>
      <c r="H416" s="6" t="n">
        <v>892.3</v>
      </c>
      <c r="I416" s="6" t="n">
        <v>-1784.6</v>
      </c>
      <c r="J416" s="6" t="n">
        <v>0</v>
      </c>
      <c r="K416" s="6" t="n">
        <v>-5.35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45356.596354167</v>
      </c>
      <c r="B417" s="2" t="s">
        <v>46</v>
      </c>
      <c r="C417" s="2" t="s">
        <v>905</v>
      </c>
      <c r="D417" s="2" t="s">
        <v>757</v>
      </c>
      <c r="E417" s="2" t="s">
        <v>18</v>
      </c>
      <c r="F417" s="2" t="s">
        <v>20</v>
      </c>
      <c r="G417" s="7" t="n">
        <v>100</v>
      </c>
      <c r="H417" s="6" t="n">
        <v>4.0655</v>
      </c>
      <c r="I417" s="6" t="n">
        <v>-406.55</v>
      </c>
      <c r="J417" s="6" t="n">
        <v>0</v>
      </c>
      <c r="K417" s="6" t="n">
        <v>-1.22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45356.59681713</v>
      </c>
      <c r="B418" s="2" t="s">
        <v>49</v>
      </c>
      <c r="C418" s="2" t="s">
        <v>899</v>
      </c>
      <c r="D418" s="2" t="s">
        <v>757</v>
      </c>
      <c r="E418" s="2" t="s">
        <v>18</v>
      </c>
      <c r="F418" s="2" t="s">
        <v>20</v>
      </c>
      <c r="G418" s="7" t="n">
        <v>20000</v>
      </c>
      <c r="H418" s="6" t="n">
        <v>0.023715</v>
      </c>
      <c r="I418" s="6" t="n">
        <v>-474.3</v>
      </c>
      <c r="J418" s="6" t="n">
        <v>0</v>
      </c>
      <c r="K418" s="6" t="n">
        <v>-1.42</v>
      </c>
      <c r="L418" s="6" t="n">
        <v>0</v>
      </c>
      <c r="M418" s="6" t="s">
        <f>=I418+J418+K418+L418</f>
      </c>
      <c r="N418" s="6"/>
      <c r="O418" s="2"/>
    </row>
    <row collapsed="false" customFormat="false" customHeight="false" hidden="false" ht="12.1" outlineLevel="0" r="419">
      <c r="A419" s="20" t="n">
        <v>45356.597268519</v>
      </c>
      <c r="B419" s="2" t="s">
        <v>54</v>
      </c>
      <c r="C419" s="2" t="s">
        <v>949</v>
      </c>
      <c r="D419" s="2" t="s">
        <v>757</v>
      </c>
      <c r="E419" s="2" t="s">
        <v>18</v>
      </c>
      <c r="F419" s="2" t="s">
        <v>20</v>
      </c>
      <c r="G419" s="7" t="n">
        <v>10</v>
      </c>
      <c r="H419" s="6" t="n">
        <v>40.22</v>
      </c>
      <c r="I419" s="6" t="n">
        <v>-402.2</v>
      </c>
      <c r="J419" s="6" t="n">
        <v>0</v>
      </c>
      <c r="K419" s="6" t="n">
        <v>-1.21</v>
      </c>
      <c r="L419" s="6" t="n">
        <v>0</v>
      </c>
      <c r="M419" s="6" t="s">
        <f>=I419+J419+K419+L419</f>
      </c>
      <c r="N419" s="6"/>
      <c r="O419" s="2"/>
    </row>
    <row collapsed="false" customFormat="false" customHeight="false" hidden="false" ht="12.1" outlineLevel="0" r="420">
      <c r="A420" s="20" t="n">
        <v>45356.597592593</v>
      </c>
      <c r="B420" s="2" t="s">
        <v>80</v>
      </c>
      <c r="C420" s="2" t="s">
        <v>982</v>
      </c>
      <c r="D420" s="2" t="s">
        <v>757</v>
      </c>
      <c r="E420" s="2" t="s">
        <v>18</v>
      </c>
      <c r="F420" s="2" t="s">
        <v>20</v>
      </c>
      <c r="G420" s="7" t="n">
        <v>10000</v>
      </c>
      <c r="H420" s="6" t="n">
        <v>0.12322</v>
      </c>
      <c r="I420" s="6" t="n">
        <v>-1232.2</v>
      </c>
      <c r="J420" s="6" t="n">
        <v>0</v>
      </c>
      <c r="K420" s="6" t="n">
        <v>-3.7</v>
      </c>
      <c r="L420" s="6" t="n">
        <v>0</v>
      </c>
      <c r="M420" s="6" t="s">
        <f>=I420+J420+K420+L420</f>
      </c>
      <c r="N420" s="6"/>
      <c r="O420" s="2"/>
    </row>
    <row collapsed="false" customFormat="false" customHeight="false" hidden="false" ht="12.1" outlineLevel="0" r="421">
      <c r="A421" s="20" t="n">
        <v>45356.601006944</v>
      </c>
      <c r="B421" s="2" t="s">
        <v>120</v>
      </c>
      <c r="C421" s="2" t="s">
        <v>995</v>
      </c>
      <c r="D421" s="2" t="s">
        <v>757</v>
      </c>
      <c r="E421" s="2" t="s">
        <v>96</v>
      </c>
      <c r="F421" s="2" t="s">
        <v>20</v>
      </c>
      <c r="G421" s="7" t="n">
        <v>1</v>
      </c>
      <c r="H421" s="6" t="n">
        <v>82.3</v>
      </c>
      <c r="I421" s="6" t="n">
        <v>-823</v>
      </c>
      <c r="J421" s="6" t="n">
        <v>-24.44</v>
      </c>
      <c r="K421" s="6" t="n">
        <v>-2.47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0" t="n">
        <v>45356.601435185</v>
      </c>
      <c r="B422" s="2" t="s">
        <v>138</v>
      </c>
      <c r="C422" s="2" t="s">
        <v>1021</v>
      </c>
      <c r="D422" s="2" t="s">
        <v>757</v>
      </c>
      <c r="E422" s="2" t="s">
        <v>96</v>
      </c>
      <c r="F422" s="2" t="s">
        <v>20</v>
      </c>
      <c r="G422" s="7" t="n">
        <v>1</v>
      </c>
      <c r="H422" s="6" t="n">
        <v>93.15</v>
      </c>
      <c r="I422" s="6" t="n">
        <v>-931.5</v>
      </c>
      <c r="J422" s="6" t="n">
        <v>-41</v>
      </c>
      <c r="K422" s="6" t="n">
        <v>-2.79</v>
      </c>
      <c r="L422" s="6" t="n">
        <v>0</v>
      </c>
      <c r="M422" s="6" t="s">
        <f>=I422+J422+K422+L422</f>
      </c>
      <c r="N422" s="6"/>
      <c r="O422" s="2"/>
    </row>
    <row collapsed="false" customFormat="false" customHeight="false" hidden="false" ht="12.1" outlineLevel="0" r="423">
      <c r="A423" s="20" t="n">
        <v>45356.601724537</v>
      </c>
      <c r="B423" s="2" t="s">
        <v>99</v>
      </c>
      <c r="C423" s="2" t="s">
        <v>897</v>
      </c>
      <c r="D423" s="2" t="s">
        <v>757</v>
      </c>
      <c r="E423" s="2" t="s">
        <v>96</v>
      </c>
      <c r="F423" s="2" t="s">
        <v>20</v>
      </c>
      <c r="G423" s="7" t="n">
        <v>1</v>
      </c>
      <c r="H423" s="6" t="n">
        <v>104.557</v>
      </c>
      <c r="I423" s="6" t="n">
        <v>-1045.57</v>
      </c>
      <c r="J423" s="6" t="n">
        <v>-27.83</v>
      </c>
      <c r="K423" s="6" t="n">
        <v>-3.14</v>
      </c>
      <c r="L423" s="6" t="n">
        <v>0</v>
      </c>
      <c r="M423" s="6" t="s">
        <f>=I423+J423+K423+L423</f>
      </c>
      <c r="N423" s="6"/>
      <c r="O423" s="2"/>
    </row>
    <row collapsed="false" customFormat="false" customHeight="false" hidden="false" ht="12.1" outlineLevel="0" r="424">
      <c r="A424" s="20" t="n">
        <v>45356.602025463</v>
      </c>
      <c r="B424" s="2" t="s">
        <v>108</v>
      </c>
      <c r="C424" s="2" t="s">
        <v>938</v>
      </c>
      <c r="D424" s="2" t="s">
        <v>757</v>
      </c>
      <c r="E424" s="2" t="s">
        <v>96</v>
      </c>
      <c r="F424" s="2" t="s">
        <v>20</v>
      </c>
      <c r="G424" s="7" t="n">
        <v>1</v>
      </c>
      <c r="H424" s="6" t="n">
        <v>66.75</v>
      </c>
      <c r="I424" s="6" t="n">
        <v>-667.5</v>
      </c>
      <c r="J424" s="6" t="n">
        <v>-4.03</v>
      </c>
      <c r="K424" s="6" t="n">
        <v>-2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45356.602326389</v>
      </c>
      <c r="B425" s="2" t="s">
        <v>123</v>
      </c>
      <c r="C425" s="2" t="s">
        <v>1020</v>
      </c>
      <c r="D425" s="2" t="s">
        <v>757</v>
      </c>
      <c r="E425" s="2" t="s">
        <v>96</v>
      </c>
      <c r="F425" s="2" t="s">
        <v>20</v>
      </c>
      <c r="G425" s="7" t="n">
        <v>1</v>
      </c>
      <c r="H425" s="6" t="n">
        <v>85.45</v>
      </c>
      <c r="I425" s="6" t="n">
        <v>-854.5</v>
      </c>
      <c r="J425" s="6" t="n">
        <v>-25.51</v>
      </c>
      <c r="K425" s="6" t="n">
        <v>-2.56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45356.602604167</v>
      </c>
      <c r="B426" s="2" t="s">
        <v>111</v>
      </c>
      <c r="C426" s="2" t="s">
        <v>928</v>
      </c>
      <c r="D426" s="2" t="s">
        <v>757</v>
      </c>
      <c r="E426" s="2" t="s">
        <v>96</v>
      </c>
      <c r="F426" s="2" t="s">
        <v>20</v>
      </c>
      <c r="G426" s="7" t="n">
        <v>1</v>
      </c>
      <c r="H426" s="6" t="n">
        <v>69.143</v>
      </c>
      <c r="I426" s="6" t="n">
        <v>-691.43</v>
      </c>
      <c r="J426" s="6" t="n">
        <v>-32.48</v>
      </c>
      <c r="K426" s="6" t="n">
        <v>-2.07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45356.602835648</v>
      </c>
      <c r="B427" s="2" t="s">
        <v>102</v>
      </c>
      <c r="C427" s="2" t="s">
        <v>935</v>
      </c>
      <c r="D427" s="2" t="s">
        <v>757</v>
      </c>
      <c r="E427" s="2" t="s">
        <v>96</v>
      </c>
      <c r="F427" s="2" t="s">
        <v>20</v>
      </c>
      <c r="G427" s="7" t="n">
        <v>1</v>
      </c>
      <c r="H427" s="6" t="n">
        <v>63.549</v>
      </c>
      <c r="I427" s="6" t="n">
        <v>-635.49</v>
      </c>
      <c r="J427" s="6" t="n">
        <v>-17.7</v>
      </c>
      <c r="K427" s="6" t="n">
        <v>-1.91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45356.603078704</v>
      </c>
      <c r="B428" s="2" t="s">
        <v>126</v>
      </c>
      <c r="C428" s="2" t="s">
        <v>1027</v>
      </c>
      <c r="D428" s="2" t="s">
        <v>757</v>
      </c>
      <c r="E428" s="2" t="s">
        <v>96</v>
      </c>
      <c r="F428" s="2" t="s">
        <v>20</v>
      </c>
      <c r="G428" s="7" t="n">
        <v>1</v>
      </c>
      <c r="H428" s="6" t="n">
        <v>82.038</v>
      </c>
      <c r="I428" s="6" t="n">
        <v>-820.38</v>
      </c>
      <c r="J428" s="6" t="n">
        <v>-37.49</v>
      </c>
      <c r="K428" s="6" t="n">
        <v>-2.46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45356.603310185</v>
      </c>
      <c r="B429" s="2" t="s">
        <v>159</v>
      </c>
      <c r="C429" s="2" t="s">
        <v>1028</v>
      </c>
      <c r="D429" s="2" t="s">
        <v>757</v>
      </c>
      <c r="E429" s="2" t="s">
        <v>96</v>
      </c>
      <c r="F429" s="2" t="s">
        <v>20</v>
      </c>
      <c r="G429" s="7" t="n">
        <v>1</v>
      </c>
      <c r="H429" s="6" t="n">
        <v>87.557</v>
      </c>
      <c r="I429" s="6" t="n">
        <v>-875.57</v>
      </c>
      <c r="J429" s="6" t="n">
        <v>0</v>
      </c>
      <c r="K429" s="6" t="n">
        <v>-2.63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0" t="n">
        <v>45356.603518519</v>
      </c>
      <c r="B430" s="2" t="s">
        <v>114</v>
      </c>
      <c r="C430" s="2" t="s">
        <v>964</v>
      </c>
      <c r="D430" s="2" t="s">
        <v>757</v>
      </c>
      <c r="E430" s="2" t="s">
        <v>96</v>
      </c>
      <c r="F430" s="2" t="s">
        <v>20</v>
      </c>
      <c r="G430" s="7" t="n">
        <v>1</v>
      </c>
      <c r="H430" s="6" t="n">
        <v>80.888</v>
      </c>
      <c r="I430" s="6" t="n">
        <v>-808.88</v>
      </c>
      <c r="J430" s="6" t="n">
        <v>-29.35</v>
      </c>
      <c r="K430" s="6" t="n">
        <v>-2.43</v>
      </c>
      <c r="L430" s="6" t="n">
        <v>0</v>
      </c>
      <c r="M430" s="6" t="s">
        <f>=I430+J430+K430+L430</f>
      </c>
      <c r="N430" s="6"/>
      <c r="O430" s="2"/>
    </row>
    <row collapsed="false" customFormat="false" customHeight="false" hidden="false" ht="12.1" outlineLevel="0" r="431">
      <c r="A431" s="20" t="n">
        <v>45356.60375</v>
      </c>
      <c r="B431" s="2" t="s">
        <v>135</v>
      </c>
      <c r="C431" s="2" t="s">
        <v>894</v>
      </c>
      <c r="D431" s="2" t="s">
        <v>757</v>
      </c>
      <c r="E431" s="2" t="s">
        <v>96</v>
      </c>
      <c r="F431" s="2" t="s">
        <v>20</v>
      </c>
      <c r="G431" s="7" t="n">
        <v>1</v>
      </c>
      <c r="H431" s="6" t="n">
        <v>71.634</v>
      </c>
      <c r="I431" s="6" t="n">
        <v>-716.34</v>
      </c>
      <c r="J431" s="6" t="n">
        <v>-20.86</v>
      </c>
      <c r="K431" s="6" t="n">
        <v>-2.15</v>
      </c>
      <c r="L431" s="6" t="n">
        <v>0</v>
      </c>
      <c r="M431" s="6" t="s">
        <f>=I431+J431+K431+L431</f>
      </c>
      <c r="N431" s="6"/>
      <c r="O431" s="2"/>
    </row>
    <row collapsed="false" customFormat="false" customHeight="false" hidden="false" ht="12.1" outlineLevel="0" r="432">
      <c r="A432" s="20" t="n">
        <v>45356.604814815</v>
      </c>
      <c r="B432" s="2" t="s">
        <v>192</v>
      </c>
      <c r="C432" s="2" t="s">
        <v>1029</v>
      </c>
      <c r="D432" s="2" t="s">
        <v>757</v>
      </c>
      <c r="E432" s="2" t="s">
        <v>96</v>
      </c>
      <c r="F432" s="2" t="s">
        <v>20</v>
      </c>
      <c r="G432" s="7" t="n">
        <v>1</v>
      </c>
      <c r="H432" s="6" t="n">
        <v>86.2</v>
      </c>
      <c r="I432" s="6" t="n">
        <v>-862</v>
      </c>
      <c r="J432" s="6" t="n">
        <v>-0.44000000000005</v>
      </c>
      <c r="K432" s="6" t="n">
        <v>-2.59</v>
      </c>
      <c r="L432" s="6" t="n">
        <v>0</v>
      </c>
      <c r="M432" s="6" t="s">
        <f>=I432+J432+K432+L432</f>
      </c>
      <c r="N432" s="6"/>
      <c r="O432" s="2"/>
    </row>
    <row collapsed="false" customFormat="false" customHeight="false" hidden="false" ht="12.1" outlineLevel="0" r="433">
      <c r="A433" s="20" t="n">
        <v>45356.605034722</v>
      </c>
      <c r="B433" s="2" t="s">
        <v>95</v>
      </c>
      <c r="C433" s="2" t="s">
        <v>893</v>
      </c>
      <c r="D433" s="2" t="s">
        <v>757</v>
      </c>
      <c r="E433" s="2" t="s">
        <v>96</v>
      </c>
      <c r="F433" s="2" t="s">
        <v>20</v>
      </c>
      <c r="G433" s="7" t="n">
        <v>1</v>
      </c>
      <c r="H433" s="6" t="n">
        <v>63.308</v>
      </c>
      <c r="I433" s="6" t="n">
        <v>-633.08</v>
      </c>
      <c r="J433" s="6" t="n">
        <v>-5.8499999999999</v>
      </c>
      <c r="K433" s="6" t="n">
        <v>-1.9</v>
      </c>
      <c r="L433" s="6" t="n">
        <v>0</v>
      </c>
      <c r="M433" s="6" t="s">
        <f>=I433+J433+K433+L433</f>
      </c>
      <c r="N433" s="6"/>
      <c r="O433" s="2"/>
    </row>
    <row collapsed="false" customFormat="false" customHeight="false" hidden="false" ht="12.1" outlineLevel="0" r="434">
      <c r="A434" s="20" t="n">
        <v>45356.605578704</v>
      </c>
      <c r="B434" s="2" t="s">
        <v>317</v>
      </c>
      <c r="C434" s="2" t="s">
        <v>1030</v>
      </c>
      <c r="D434" s="2" t="s">
        <v>757</v>
      </c>
      <c r="E434" s="2" t="s">
        <v>96</v>
      </c>
      <c r="F434" s="2" t="s">
        <v>20</v>
      </c>
      <c r="G434" s="7" t="n">
        <v>1</v>
      </c>
      <c r="H434" s="6" t="n">
        <v>95.489966555184</v>
      </c>
      <c r="I434" s="6" t="n">
        <v>-571.03</v>
      </c>
      <c r="J434" s="6" t="n">
        <v>-14.6</v>
      </c>
      <c r="K434" s="6" t="n">
        <v>-1.71</v>
      </c>
      <c r="L434" s="6" t="n">
        <v>0</v>
      </c>
      <c r="M434" s="6" t="s">
        <f>=I434+J434+K434+L434</f>
      </c>
      <c r="N434" s="6"/>
      <c r="O434" s="2"/>
    </row>
    <row collapsed="false" customFormat="false" customHeight="false" hidden="false" ht="12.1" outlineLevel="0" r="435">
      <c r="A435" s="20" t="n">
        <v>45356.606018519</v>
      </c>
      <c r="B435" s="2" t="s">
        <v>314</v>
      </c>
      <c r="C435" s="2" t="s">
        <v>1031</v>
      </c>
      <c r="D435" s="2" t="s">
        <v>757</v>
      </c>
      <c r="E435" s="2" t="s">
        <v>96</v>
      </c>
      <c r="F435" s="2" t="s">
        <v>20</v>
      </c>
      <c r="G435" s="7" t="n">
        <v>1</v>
      </c>
      <c r="H435" s="6" t="n">
        <v>87.55</v>
      </c>
      <c r="I435" s="6" t="n">
        <v>-262.65</v>
      </c>
      <c r="J435" s="6" t="n">
        <v>-1.08</v>
      </c>
      <c r="K435" s="6" t="n">
        <v>-0.79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45356.60681713</v>
      </c>
      <c r="B436" s="2" t="s">
        <v>234</v>
      </c>
      <c r="C436" s="2" t="s">
        <v>1032</v>
      </c>
      <c r="D436" s="2" t="s">
        <v>757</v>
      </c>
      <c r="E436" s="2" t="s">
        <v>96</v>
      </c>
      <c r="F436" s="2" t="s">
        <v>20</v>
      </c>
      <c r="G436" s="7" t="n">
        <v>1</v>
      </c>
      <c r="H436" s="6" t="n">
        <v>101.15</v>
      </c>
      <c r="I436" s="6" t="n">
        <v>-1011.5</v>
      </c>
      <c r="J436" s="6" t="n">
        <v>-7.5</v>
      </c>
      <c r="K436" s="6" t="n">
        <v>-3.03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1" t="n">
        <v>45358.550046296</v>
      </c>
      <c r="B437" s="22" t="s">
        <v>891</v>
      </c>
      <c r="C437" s="22" t="s">
        <v>934</v>
      </c>
      <c r="D437" s="22" t="s">
        <v>891</v>
      </c>
      <c r="E437" s="22" t="s">
        <v>891</v>
      </c>
      <c r="F437" s="22" t="s">
        <v>20</v>
      </c>
      <c r="G437" s="23" t="n">
        <v>1</v>
      </c>
      <c r="H437" s="24" t="n">
        <v>1</v>
      </c>
      <c r="I437" s="24" t="n">
        <v>19.87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4"/>
      <c r="O437" s="22"/>
    </row>
    <row collapsed="false" customFormat="false" customHeight="false" hidden="false" ht="12.1" outlineLevel="0" r="438">
      <c r="A438" s="21" t="n">
        <v>45358.579421296</v>
      </c>
      <c r="B438" s="22" t="s">
        <v>891</v>
      </c>
      <c r="C438" s="22" t="s">
        <v>951</v>
      </c>
      <c r="D438" s="22" t="s">
        <v>891</v>
      </c>
      <c r="E438" s="22" t="s">
        <v>891</v>
      </c>
      <c r="F438" s="22" t="s">
        <v>20</v>
      </c>
      <c r="G438" s="23" t="n">
        <v>1</v>
      </c>
      <c r="H438" s="24" t="n">
        <v>1</v>
      </c>
      <c r="I438" s="24" t="n">
        <v>45.97</v>
      </c>
      <c r="J438" s="24" t="n">
        <v>0</v>
      </c>
      <c r="K438" s="24" t="n">
        <v>0</v>
      </c>
      <c r="L438" s="24" t="n">
        <v>0</v>
      </c>
      <c r="M438" s="6" t="s">
        <f>=I438+J438+K438+L438</f>
      </c>
      <c r="N438" s="24"/>
      <c r="O438" s="22"/>
    </row>
    <row collapsed="false" customFormat="false" customHeight="false" hidden="false" ht="12.1" outlineLevel="0" r="439">
      <c r="A439" s="21" t="n">
        <v>45362.513171296</v>
      </c>
      <c r="B439" s="22" t="s">
        <v>901</v>
      </c>
      <c r="C439" s="22" t="s">
        <v>1033</v>
      </c>
      <c r="D439" s="22" t="s">
        <v>901</v>
      </c>
      <c r="E439" s="22" t="s">
        <v>901</v>
      </c>
      <c r="F439" s="22" t="s">
        <v>20</v>
      </c>
      <c r="G439" s="23" t="n">
        <v>1</v>
      </c>
      <c r="H439" s="24" t="n">
        <v>1</v>
      </c>
      <c r="I439" s="24" t="n">
        <v>67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4"/>
      <c r="O439" s="22"/>
    </row>
    <row collapsed="false" customFormat="false" customHeight="false" hidden="false" ht="12.1" outlineLevel="0" r="440">
      <c r="A440" s="21" t="n">
        <v>45362.515856481</v>
      </c>
      <c r="B440" s="22" t="s">
        <v>891</v>
      </c>
      <c r="C440" s="22" t="s">
        <v>1034</v>
      </c>
      <c r="D440" s="22" t="s">
        <v>891</v>
      </c>
      <c r="E440" s="22" t="s">
        <v>891</v>
      </c>
      <c r="F440" s="22" t="s">
        <v>20</v>
      </c>
      <c r="G440" s="23" t="n">
        <v>1</v>
      </c>
      <c r="H440" s="24" t="n">
        <v>1</v>
      </c>
      <c r="I440" s="24" t="n">
        <v>14.76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1" t="n">
        <v>45371.575219907</v>
      </c>
      <c r="B441" s="22" t="s">
        <v>891</v>
      </c>
      <c r="C441" s="22" t="s">
        <v>954</v>
      </c>
      <c r="D441" s="22" t="s">
        <v>891</v>
      </c>
      <c r="E441" s="22" t="s">
        <v>891</v>
      </c>
      <c r="F441" s="22" t="s">
        <v>20</v>
      </c>
      <c r="G441" s="23" t="n">
        <v>1</v>
      </c>
      <c r="H441" s="24" t="n">
        <v>1</v>
      </c>
      <c r="I441" s="24" t="n">
        <v>39.39</v>
      </c>
      <c r="J441" s="24" t="n">
        <v>0</v>
      </c>
      <c r="K441" s="24" t="n">
        <v>0</v>
      </c>
      <c r="L441" s="24" t="n">
        <v>0</v>
      </c>
      <c r="M441" s="6" t="s">
        <f>=I441+J441+K441+L441</f>
      </c>
      <c r="N441" s="24"/>
      <c r="O441" s="22"/>
    </row>
    <row collapsed="false" customFormat="false" customHeight="false" hidden="false" ht="12.1" outlineLevel="0" r="442">
      <c r="A442" s="21" t="n">
        <v>45372.466666667</v>
      </c>
      <c r="B442" s="22" t="s">
        <v>891</v>
      </c>
      <c r="C442" s="22" t="s">
        <v>913</v>
      </c>
      <c r="D442" s="22" t="s">
        <v>891</v>
      </c>
      <c r="E442" s="22" t="s">
        <v>891</v>
      </c>
      <c r="F442" s="22" t="s">
        <v>20</v>
      </c>
      <c r="G442" s="23" t="n">
        <v>1</v>
      </c>
      <c r="H442" s="24" t="n">
        <v>1</v>
      </c>
      <c r="I442" s="24" t="n">
        <v>235.36</v>
      </c>
      <c r="J442" s="24" t="n">
        <v>0</v>
      </c>
      <c r="K442" s="24" t="n">
        <v>0</v>
      </c>
      <c r="L442" s="24" t="n">
        <v>0</v>
      </c>
      <c r="M442" s="6" t="s">
        <f>=I442+J442+K442+L442</f>
      </c>
      <c r="N442" s="24"/>
      <c r="O442" s="22"/>
    </row>
    <row collapsed="false" customFormat="false" customHeight="false" hidden="false" ht="12.1" outlineLevel="0" r="443">
      <c r="A443" s="21" t="n">
        <v>45373.537708333</v>
      </c>
      <c r="B443" s="22" t="s">
        <v>891</v>
      </c>
      <c r="C443" s="22" t="s">
        <v>1035</v>
      </c>
      <c r="D443" s="22" t="s">
        <v>891</v>
      </c>
      <c r="E443" s="22" t="s">
        <v>891</v>
      </c>
      <c r="F443" s="22" t="s">
        <v>20</v>
      </c>
      <c r="G443" s="23" t="n">
        <v>1</v>
      </c>
      <c r="H443" s="24" t="n">
        <v>1</v>
      </c>
      <c r="I443" s="24" t="n">
        <v>14.54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1" t="n">
        <v>45377.668043981</v>
      </c>
      <c r="B444" s="22" t="s">
        <v>891</v>
      </c>
      <c r="C444" s="22" t="s">
        <v>1002</v>
      </c>
      <c r="D444" s="22" t="s">
        <v>891</v>
      </c>
      <c r="E444" s="22" t="s">
        <v>891</v>
      </c>
      <c r="F444" s="22" t="s">
        <v>20</v>
      </c>
      <c r="G444" s="23" t="n">
        <v>1</v>
      </c>
      <c r="H444" s="24" t="n">
        <v>1</v>
      </c>
      <c r="I444" s="24" t="n">
        <v>29.5</v>
      </c>
      <c r="J444" s="24" t="n">
        <v>0</v>
      </c>
      <c r="K444" s="24" t="n">
        <v>0</v>
      </c>
      <c r="L444" s="24" t="n">
        <v>0</v>
      </c>
      <c r="M444" s="6" t="s">
        <f>=I444+J444+K444+L444</f>
      </c>
      <c r="N444" s="24"/>
      <c r="O444" s="22"/>
    </row>
    <row collapsed="false" customFormat="false" customHeight="false" hidden="false" ht="12.1" outlineLevel="0" r="445">
      <c r="A445" s="21" t="n">
        <v>45378.456585648</v>
      </c>
      <c r="B445" s="22" t="s">
        <v>901</v>
      </c>
      <c r="C445" s="22" t="s">
        <v>1003</v>
      </c>
      <c r="D445" s="22" t="s">
        <v>901</v>
      </c>
      <c r="E445" s="22" t="s">
        <v>901</v>
      </c>
      <c r="F445" s="22" t="s">
        <v>20</v>
      </c>
      <c r="G445" s="23" t="n">
        <v>1</v>
      </c>
      <c r="H445" s="24" t="n">
        <v>1</v>
      </c>
      <c r="I445" s="24" t="n">
        <v>75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2"/>
    </row>
    <row collapsed="false" customFormat="false" customHeight="false" hidden="false" ht="12.1" outlineLevel="0" r="446">
      <c r="A446" s="21" t="n">
        <v>45378.458136574</v>
      </c>
      <c r="B446" s="22" t="s">
        <v>891</v>
      </c>
      <c r="C446" s="22" t="s">
        <v>1004</v>
      </c>
      <c r="D446" s="22" t="s">
        <v>891</v>
      </c>
      <c r="E446" s="22" t="s">
        <v>891</v>
      </c>
      <c r="F446" s="22" t="s">
        <v>20</v>
      </c>
      <c r="G446" s="23" t="n">
        <v>1</v>
      </c>
      <c r="H446" s="24" t="n">
        <v>1</v>
      </c>
      <c r="I446" s="24" t="n">
        <v>17.67</v>
      </c>
      <c r="J446" s="24" t="n">
        <v>0</v>
      </c>
      <c r="K446" s="24" t="n">
        <v>0</v>
      </c>
      <c r="L446" s="24" t="n">
        <v>0</v>
      </c>
      <c r="M446" s="6" t="s">
        <f>=I446+J446+K446+L446</f>
      </c>
      <c r="N446" s="24"/>
      <c r="O446" s="22"/>
    </row>
    <row collapsed="false" customFormat="false" customHeight="false" hidden="false" ht="12.1" outlineLevel="0" r="447">
      <c r="A447" s="21" t="n">
        <v>45379.431782407</v>
      </c>
      <c r="B447" s="22" t="s">
        <v>891</v>
      </c>
      <c r="C447" s="22" t="s">
        <v>1036</v>
      </c>
      <c r="D447" s="22" t="s">
        <v>891</v>
      </c>
      <c r="E447" s="22" t="s">
        <v>891</v>
      </c>
      <c r="F447" s="22" t="s">
        <v>20</v>
      </c>
      <c r="G447" s="23" t="n">
        <v>1</v>
      </c>
      <c r="H447" s="24" t="n">
        <v>1</v>
      </c>
      <c r="I447" s="24" t="n">
        <v>189.88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4"/>
      <c r="O447" s="22"/>
    </row>
    <row collapsed="false" customFormat="false" customHeight="false" hidden="false" ht="12.1" outlineLevel="0" r="448">
      <c r="A448" s="21" t="n">
        <v>45379.552268519</v>
      </c>
      <c r="B448" s="22" t="s">
        <v>891</v>
      </c>
      <c r="C448" s="22" t="s">
        <v>1037</v>
      </c>
      <c r="D448" s="22" t="s">
        <v>891</v>
      </c>
      <c r="E448" s="22" t="s">
        <v>891</v>
      </c>
      <c r="F448" s="22" t="s">
        <v>20</v>
      </c>
      <c r="G448" s="23" t="n">
        <v>1</v>
      </c>
      <c r="H448" s="24" t="n">
        <v>1</v>
      </c>
      <c r="I448" s="24" t="n">
        <v>84.76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1" t="n">
        <v>45379.736527778</v>
      </c>
      <c r="B449" s="22" t="s">
        <v>891</v>
      </c>
      <c r="C449" s="22" t="s">
        <v>956</v>
      </c>
      <c r="D449" s="22" t="s">
        <v>891</v>
      </c>
      <c r="E449" s="22" t="s">
        <v>891</v>
      </c>
      <c r="F449" s="22" t="s">
        <v>20</v>
      </c>
      <c r="G449" s="23" t="n">
        <v>1</v>
      </c>
      <c r="H449" s="24" t="n">
        <v>1</v>
      </c>
      <c r="I449" s="24" t="n">
        <v>62.64</v>
      </c>
      <c r="J449" s="24" t="n">
        <v>0</v>
      </c>
      <c r="K449" s="24" t="n">
        <v>0</v>
      </c>
      <c r="L449" s="24" t="n">
        <v>0</v>
      </c>
      <c r="M449" s="6" t="s">
        <f>=I449+J449+K449+L449</f>
      </c>
      <c r="N449" s="24"/>
      <c r="O449" s="22"/>
    </row>
    <row collapsed="false" customFormat="false" customHeight="false" hidden="false" ht="12.1" outlineLevel="0" r="450">
      <c r="A450" s="21" t="n">
        <v>45386.43275463</v>
      </c>
      <c r="B450" s="22" t="s">
        <v>891</v>
      </c>
      <c r="C450" s="22" t="s">
        <v>958</v>
      </c>
      <c r="D450" s="22" t="s">
        <v>891</v>
      </c>
      <c r="E450" s="22" t="s">
        <v>891</v>
      </c>
      <c r="F450" s="22" t="s">
        <v>20</v>
      </c>
      <c r="G450" s="23" t="n">
        <v>1</v>
      </c>
      <c r="H450" s="24" t="n">
        <v>1</v>
      </c>
      <c r="I450" s="24" t="n">
        <v>499.07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2"/>
    </row>
    <row collapsed="false" customFormat="false" customHeight="false" hidden="false" ht="12.1" outlineLevel="0" r="451">
      <c r="A451" s="21" t="n">
        <v>45386.463101852</v>
      </c>
      <c r="B451" s="22" t="s">
        <v>891</v>
      </c>
      <c r="C451" s="22" t="s">
        <v>957</v>
      </c>
      <c r="D451" s="22" t="s">
        <v>891</v>
      </c>
      <c r="E451" s="22" t="s">
        <v>891</v>
      </c>
      <c r="F451" s="22" t="s">
        <v>20</v>
      </c>
      <c r="G451" s="23" t="n">
        <v>1</v>
      </c>
      <c r="H451" s="24" t="n">
        <v>1</v>
      </c>
      <c r="I451" s="24" t="n">
        <v>76.78</v>
      </c>
      <c r="J451" s="24" t="n">
        <v>0</v>
      </c>
      <c r="K451" s="24" t="n">
        <v>0</v>
      </c>
      <c r="L451" s="24" t="n">
        <v>0</v>
      </c>
      <c r="M451" s="6" t="s">
        <f>=I451+J451+K451+L451</f>
      </c>
      <c r="N451" s="24"/>
      <c r="O451" s="22"/>
    </row>
    <row collapsed="false" customFormat="false" customHeight="false" hidden="false" ht="12.1" outlineLevel="0" r="452">
      <c r="A452" s="21" t="n">
        <v>45387.659733796</v>
      </c>
      <c r="B452" s="22" t="s">
        <v>884</v>
      </c>
      <c r="C452" s="22" t="s">
        <v>336</v>
      </c>
      <c r="D452" s="22" t="s">
        <v>884</v>
      </c>
      <c r="E452" s="22" t="s">
        <v>884</v>
      </c>
      <c r="F452" s="22" t="s">
        <v>20</v>
      </c>
      <c r="G452" s="23" t="n">
        <v>1</v>
      </c>
      <c r="H452" s="24" t="n">
        <v>1</v>
      </c>
      <c r="I452" s="24" t="n">
        <v>11200</v>
      </c>
      <c r="J452" s="24" t="n">
        <v>0</v>
      </c>
      <c r="K452" s="24" t="n">
        <v>0</v>
      </c>
      <c r="L452" s="24" t="n">
        <v>0</v>
      </c>
      <c r="M452" s="6" t="s">
        <f>=I452+J452+K452+L452</f>
      </c>
      <c r="N452" s="24"/>
      <c r="O452" s="22"/>
    </row>
    <row collapsed="false" customFormat="false" customHeight="false" hidden="false" ht="12.1" outlineLevel="0" r="453">
      <c r="A453" s="21" t="n">
        <v>45387.660428241</v>
      </c>
      <c r="B453" s="22" t="s">
        <v>891</v>
      </c>
      <c r="C453" s="22" t="s">
        <v>900</v>
      </c>
      <c r="D453" s="22" t="s">
        <v>891</v>
      </c>
      <c r="E453" s="22" t="s">
        <v>891</v>
      </c>
      <c r="F453" s="22" t="s">
        <v>20</v>
      </c>
      <c r="G453" s="23" t="n">
        <v>1</v>
      </c>
      <c r="H453" s="24" t="n">
        <v>1</v>
      </c>
      <c r="I453" s="24" t="n">
        <v>13.96</v>
      </c>
      <c r="J453" s="24" t="n">
        <v>0</v>
      </c>
      <c r="K453" s="24" t="n">
        <v>0</v>
      </c>
      <c r="L453" s="24" t="n">
        <v>0</v>
      </c>
      <c r="M453" s="6" t="s">
        <f>=I453+J453+K453+L453</f>
      </c>
      <c r="N453" s="24"/>
      <c r="O453" s="22"/>
    </row>
    <row collapsed="false" customFormat="false" customHeight="false" hidden="false" ht="12.1" outlineLevel="0" r="454">
      <c r="A454" s="20" t="n">
        <v>45387.667974537</v>
      </c>
      <c r="B454" s="2" t="s">
        <v>138</v>
      </c>
      <c r="C454" s="2" t="s">
        <v>1021</v>
      </c>
      <c r="D454" s="2" t="s">
        <v>757</v>
      </c>
      <c r="E454" s="2" t="s">
        <v>96</v>
      </c>
      <c r="F454" s="2" t="s">
        <v>20</v>
      </c>
      <c r="G454" s="7" t="n">
        <v>1</v>
      </c>
      <c r="H454" s="6" t="n">
        <v>89.247</v>
      </c>
      <c r="I454" s="6" t="n">
        <v>-892.47</v>
      </c>
      <c r="J454" s="6" t="n">
        <v>-3.6999999999999</v>
      </c>
      <c r="K454" s="6" t="n">
        <v>-2.68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0" t="n">
        <v>45387.668344907</v>
      </c>
      <c r="B455" s="2" t="s">
        <v>123</v>
      </c>
      <c r="C455" s="2" t="s">
        <v>1020</v>
      </c>
      <c r="D455" s="2" t="s">
        <v>757</v>
      </c>
      <c r="E455" s="2" t="s">
        <v>96</v>
      </c>
      <c r="F455" s="2" t="s">
        <v>20</v>
      </c>
      <c r="G455" s="7" t="n">
        <v>1</v>
      </c>
      <c r="H455" s="6" t="n">
        <v>81.549</v>
      </c>
      <c r="I455" s="6" t="n">
        <v>-815.49</v>
      </c>
      <c r="J455" s="6" t="n">
        <v>-34.1</v>
      </c>
      <c r="K455" s="6" t="n">
        <v>-2.45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0" t="n">
        <v>45387.668854167</v>
      </c>
      <c r="B456" s="2" t="s">
        <v>135</v>
      </c>
      <c r="C456" s="2" t="s">
        <v>894</v>
      </c>
      <c r="D456" s="2" t="s">
        <v>757</v>
      </c>
      <c r="E456" s="2" t="s">
        <v>96</v>
      </c>
      <c r="F456" s="2" t="s">
        <v>20</v>
      </c>
      <c r="G456" s="7" t="n">
        <v>1</v>
      </c>
      <c r="H456" s="6" t="n">
        <v>67.848</v>
      </c>
      <c r="I456" s="6" t="n">
        <v>-678.48</v>
      </c>
      <c r="J456" s="6" t="n">
        <v>-27.41</v>
      </c>
      <c r="K456" s="6" t="n">
        <v>-2.04</v>
      </c>
      <c r="L456" s="6" t="n">
        <v>0</v>
      </c>
      <c r="M456" s="6" t="s">
        <f>=I456+J456+K456+L456</f>
      </c>
      <c r="N456" s="6"/>
      <c r="O456" s="2"/>
    </row>
    <row collapsed="false" customFormat="false" customHeight="false" hidden="false" ht="12.1" outlineLevel="0" r="457">
      <c r="A457" s="20" t="n">
        <v>45387.669131944</v>
      </c>
      <c r="B457" s="2" t="s">
        <v>132</v>
      </c>
      <c r="C457" s="2" t="s">
        <v>927</v>
      </c>
      <c r="D457" s="2" t="s">
        <v>757</v>
      </c>
      <c r="E457" s="2" t="s">
        <v>96</v>
      </c>
      <c r="F457" s="2" t="s">
        <v>20</v>
      </c>
      <c r="G457" s="7" t="n">
        <v>1</v>
      </c>
      <c r="H457" s="6" t="n">
        <v>72.172</v>
      </c>
      <c r="I457" s="6" t="n">
        <v>-721.72</v>
      </c>
      <c r="J457" s="6" t="n">
        <v>-1.05</v>
      </c>
      <c r="K457" s="6" t="n">
        <v>-2.17</v>
      </c>
      <c r="L457" s="6" t="n">
        <v>0</v>
      </c>
      <c r="M457" s="6" t="s">
        <f>=I457+J457+K457+L457</f>
      </c>
      <c r="N457" s="6"/>
      <c r="O457" s="2"/>
    </row>
    <row collapsed="false" customFormat="false" customHeight="false" hidden="false" ht="12.1" outlineLevel="0" r="458">
      <c r="A458" s="20" t="n">
        <v>45387.669375</v>
      </c>
      <c r="B458" s="2" t="s">
        <v>117</v>
      </c>
      <c r="C458" s="2" t="s">
        <v>889</v>
      </c>
      <c r="D458" s="2" t="s">
        <v>757</v>
      </c>
      <c r="E458" s="2" t="s">
        <v>96</v>
      </c>
      <c r="F458" s="2" t="s">
        <v>20</v>
      </c>
      <c r="G458" s="7" t="n">
        <v>1</v>
      </c>
      <c r="H458" s="6" t="n">
        <v>68.242</v>
      </c>
      <c r="I458" s="6" t="n">
        <v>-682.42</v>
      </c>
      <c r="J458" s="6" t="n">
        <v>-3.0700000000001</v>
      </c>
      <c r="K458" s="6" t="n">
        <v>-2.05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45387.669918981</v>
      </c>
      <c r="B459" s="2" t="s">
        <v>120</v>
      </c>
      <c r="C459" s="2" t="s">
        <v>995</v>
      </c>
      <c r="D459" s="2" t="s">
        <v>757</v>
      </c>
      <c r="E459" s="2" t="s">
        <v>96</v>
      </c>
      <c r="F459" s="2" t="s">
        <v>20</v>
      </c>
      <c r="G459" s="7" t="n">
        <v>1</v>
      </c>
      <c r="H459" s="6" t="n">
        <v>77.41</v>
      </c>
      <c r="I459" s="6" t="n">
        <v>-774.1</v>
      </c>
      <c r="J459" s="6" t="n">
        <v>-33.3</v>
      </c>
      <c r="K459" s="6" t="n">
        <v>-2.32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45387.670150463</v>
      </c>
      <c r="B460" s="2" t="s">
        <v>108</v>
      </c>
      <c r="C460" s="2" t="s">
        <v>938</v>
      </c>
      <c r="D460" s="2" t="s">
        <v>757</v>
      </c>
      <c r="E460" s="2" t="s">
        <v>96</v>
      </c>
      <c r="F460" s="2" t="s">
        <v>20</v>
      </c>
      <c r="G460" s="7" t="n">
        <v>1</v>
      </c>
      <c r="H460" s="6" t="n">
        <v>62.393</v>
      </c>
      <c r="I460" s="6" t="n">
        <v>-623.93</v>
      </c>
      <c r="J460" s="6" t="n">
        <v>-10.35</v>
      </c>
      <c r="K460" s="6" t="n">
        <v>-1.87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45387.67037037</v>
      </c>
      <c r="B461" s="2" t="s">
        <v>138</v>
      </c>
      <c r="C461" s="2" t="s">
        <v>1021</v>
      </c>
      <c r="D461" s="2" t="s">
        <v>757</v>
      </c>
      <c r="E461" s="2" t="s">
        <v>96</v>
      </c>
      <c r="F461" s="2" t="s">
        <v>20</v>
      </c>
      <c r="G461" s="7" t="n">
        <v>1</v>
      </c>
      <c r="H461" s="6" t="n">
        <v>89.23</v>
      </c>
      <c r="I461" s="6" t="n">
        <v>-892.3</v>
      </c>
      <c r="J461" s="6" t="n">
        <v>-3.7</v>
      </c>
      <c r="K461" s="6" t="n">
        <v>-2.68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0" t="n">
        <v>45387.670578704</v>
      </c>
      <c r="B462" s="2" t="s">
        <v>111</v>
      </c>
      <c r="C462" s="2" t="s">
        <v>928</v>
      </c>
      <c r="D462" s="2" t="s">
        <v>757</v>
      </c>
      <c r="E462" s="2" t="s">
        <v>96</v>
      </c>
      <c r="F462" s="2" t="s">
        <v>20</v>
      </c>
      <c r="G462" s="7" t="n">
        <v>1</v>
      </c>
      <c r="H462" s="6" t="n">
        <v>64.62</v>
      </c>
      <c r="I462" s="6" t="n">
        <v>-646.2</v>
      </c>
      <c r="J462" s="6" t="n">
        <v>-1.05</v>
      </c>
      <c r="K462" s="6" t="n">
        <v>-1.94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45387.670856481</v>
      </c>
      <c r="B463" s="2" t="s">
        <v>95</v>
      </c>
      <c r="C463" s="2" t="s">
        <v>893</v>
      </c>
      <c r="D463" s="2" t="s">
        <v>757</v>
      </c>
      <c r="E463" s="2" t="s">
        <v>96</v>
      </c>
      <c r="F463" s="2" t="s">
        <v>20</v>
      </c>
      <c r="G463" s="7" t="n">
        <v>3</v>
      </c>
      <c r="H463" s="6" t="n">
        <v>59.267</v>
      </c>
      <c r="I463" s="6" t="n">
        <v>-1778.01</v>
      </c>
      <c r="J463" s="6" t="n">
        <v>-34.11</v>
      </c>
      <c r="K463" s="6" t="n">
        <v>-5.33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45387.671053241</v>
      </c>
      <c r="B464" s="2" t="s">
        <v>123</v>
      </c>
      <c r="C464" s="2" t="s">
        <v>1020</v>
      </c>
      <c r="D464" s="2" t="s">
        <v>757</v>
      </c>
      <c r="E464" s="2" t="s">
        <v>96</v>
      </c>
      <c r="F464" s="2" t="s">
        <v>20</v>
      </c>
      <c r="G464" s="7" t="n">
        <v>1</v>
      </c>
      <c r="H464" s="6" t="n">
        <v>81.495</v>
      </c>
      <c r="I464" s="6" t="n">
        <v>-814.95</v>
      </c>
      <c r="J464" s="6" t="n">
        <v>-34.1</v>
      </c>
      <c r="K464" s="6" t="n">
        <v>-2.44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45387.671805556</v>
      </c>
      <c r="B465" s="2" t="s">
        <v>102</v>
      </c>
      <c r="C465" s="2" t="s">
        <v>935</v>
      </c>
      <c r="D465" s="2" t="s">
        <v>757</v>
      </c>
      <c r="E465" s="2" t="s">
        <v>96</v>
      </c>
      <c r="F465" s="2" t="s">
        <v>20</v>
      </c>
      <c r="G465" s="7" t="n">
        <v>1</v>
      </c>
      <c r="H465" s="6" t="n">
        <v>59.28</v>
      </c>
      <c r="I465" s="6" t="n">
        <v>-592.8</v>
      </c>
      <c r="J465" s="6" t="n">
        <v>-24.12</v>
      </c>
      <c r="K465" s="6" t="n">
        <v>-1.78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45387.672013889</v>
      </c>
      <c r="B466" s="2" t="s">
        <v>135</v>
      </c>
      <c r="C466" s="2" t="s">
        <v>894</v>
      </c>
      <c r="D466" s="2" t="s">
        <v>757</v>
      </c>
      <c r="E466" s="2" t="s">
        <v>96</v>
      </c>
      <c r="F466" s="2" t="s">
        <v>20</v>
      </c>
      <c r="G466" s="7" t="n">
        <v>1</v>
      </c>
      <c r="H466" s="6" t="n">
        <v>67.848</v>
      </c>
      <c r="I466" s="6" t="n">
        <v>-678.48</v>
      </c>
      <c r="J466" s="6" t="n">
        <v>-27.41</v>
      </c>
      <c r="K466" s="6" t="n">
        <v>-2.04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45387.672199074</v>
      </c>
      <c r="B467" s="2" t="s">
        <v>132</v>
      </c>
      <c r="C467" s="2" t="s">
        <v>927</v>
      </c>
      <c r="D467" s="2" t="s">
        <v>757</v>
      </c>
      <c r="E467" s="2" t="s">
        <v>96</v>
      </c>
      <c r="F467" s="2" t="s">
        <v>20</v>
      </c>
      <c r="G467" s="7" t="n">
        <v>1</v>
      </c>
      <c r="H467" s="6" t="n">
        <v>72.173</v>
      </c>
      <c r="I467" s="6" t="n">
        <v>-721.73</v>
      </c>
      <c r="J467" s="6" t="n">
        <v>-1.05</v>
      </c>
      <c r="K467" s="6" t="n">
        <v>-2.17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45387.672372685</v>
      </c>
      <c r="B468" s="2" t="s">
        <v>117</v>
      </c>
      <c r="C468" s="2" t="s">
        <v>889</v>
      </c>
      <c r="D468" s="2" t="s">
        <v>757</v>
      </c>
      <c r="E468" s="2" t="s">
        <v>96</v>
      </c>
      <c r="F468" s="2" t="s">
        <v>20</v>
      </c>
      <c r="G468" s="7" t="n">
        <v>1</v>
      </c>
      <c r="H468" s="6" t="n">
        <v>68.243</v>
      </c>
      <c r="I468" s="6" t="n">
        <v>-682.43</v>
      </c>
      <c r="J468" s="6" t="n">
        <v>-3.0700000000001</v>
      </c>
      <c r="K468" s="6" t="n">
        <v>-2.05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1" t="n">
        <v>45393.534456019</v>
      </c>
      <c r="B469" s="22" t="s">
        <v>891</v>
      </c>
      <c r="C469" s="22" t="s">
        <v>1038</v>
      </c>
      <c r="D469" s="22" t="s">
        <v>891</v>
      </c>
      <c r="E469" s="22" t="s">
        <v>891</v>
      </c>
      <c r="F469" s="22" t="s">
        <v>20</v>
      </c>
      <c r="G469" s="23" t="n">
        <v>1</v>
      </c>
      <c r="H469" s="24" t="n">
        <v>1</v>
      </c>
      <c r="I469" s="24" t="n">
        <v>44.09</v>
      </c>
      <c r="J469" s="24" t="n">
        <v>0</v>
      </c>
      <c r="K469" s="24" t="n">
        <v>0</v>
      </c>
      <c r="L469" s="24" t="n">
        <v>0</v>
      </c>
      <c r="M469" s="6" t="s">
        <f>=I469+J469+K469+L469</f>
      </c>
      <c r="N469" s="24"/>
      <c r="O469" s="22"/>
    </row>
    <row collapsed="false" customFormat="false" customHeight="false" hidden="false" ht="12.1" outlineLevel="0" r="470">
      <c r="A470" s="25" t="n">
        <v>45393.534456019</v>
      </c>
      <c r="B470" s="26" t="s">
        <v>917</v>
      </c>
      <c r="C470" s="26" t="s">
        <v>1039</v>
      </c>
      <c r="D470" s="26" t="s">
        <v>917</v>
      </c>
      <c r="E470" s="26" t="s">
        <v>917</v>
      </c>
      <c r="F470" s="26" t="s">
        <v>20</v>
      </c>
      <c r="G470" s="27" t="n">
        <v>1</v>
      </c>
      <c r="H470" s="28" t="n">
        <v>-5</v>
      </c>
      <c r="I470" s="28" t="n">
        <v>-5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1" t="n">
        <v>45394.411030093</v>
      </c>
      <c r="B471" s="22" t="s">
        <v>891</v>
      </c>
      <c r="C471" s="22" t="s">
        <v>961</v>
      </c>
      <c r="D471" s="22" t="s">
        <v>891</v>
      </c>
      <c r="E471" s="22" t="s">
        <v>891</v>
      </c>
      <c r="F471" s="22" t="s">
        <v>20</v>
      </c>
      <c r="G471" s="23" t="n">
        <v>1</v>
      </c>
      <c r="H471" s="24" t="n">
        <v>1</v>
      </c>
      <c r="I471" s="24" t="n">
        <v>102.62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2"/>
    </row>
    <row collapsed="false" customFormat="false" customHeight="false" hidden="false" ht="12.1" outlineLevel="0" r="472">
      <c r="A472" s="21" t="n">
        <v>45400.511331019</v>
      </c>
      <c r="B472" s="22" t="s">
        <v>891</v>
      </c>
      <c r="C472" s="22" t="s">
        <v>1006</v>
      </c>
      <c r="D472" s="22" t="s">
        <v>891</v>
      </c>
      <c r="E472" s="22" t="s">
        <v>891</v>
      </c>
      <c r="F472" s="22" t="s">
        <v>20</v>
      </c>
      <c r="G472" s="23" t="n">
        <v>1</v>
      </c>
      <c r="H472" s="24" t="n">
        <v>1</v>
      </c>
      <c r="I472" s="24" t="n">
        <v>190.75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21" t="n">
        <v>45405.559131944</v>
      </c>
      <c r="B473" s="22" t="s">
        <v>891</v>
      </c>
      <c r="C473" s="22" t="s">
        <v>1035</v>
      </c>
      <c r="D473" s="22" t="s">
        <v>891</v>
      </c>
      <c r="E473" s="22" t="s">
        <v>891</v>
      </c>
      <c r="F473" s="22" t="s">
        <v>20</v>
      </c>
      <c r="G473" s="23" t="n">
        <v>1</v>
      </c>
      <c r="H473" s="24" t="n">
        <v>1</v>
      </c>
      <c r="I473" s="24" t="n">
        <v>14.43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2"/>
    </row>
    <row collapsed="false" customFormat="false" customHeight="false" hidden="false" ht="12.1" outlineLevel="0" r="474">
      <c r="A474" s="21" t="n">
        <v>45406.504560185</v>
      </c>
      <c r="B474" s="22" t="s">
        <v>891</v>
      </c>
      <c r="C474" s="22" t="s">
        <v>1023</v>
      </c>
      <c r="D474" s="22" t="s">
        <v>891</v>
      </c>
      <c r="E474" s="22" t="s">
        <v>891</v>
      </c>
      <c r="F474" s="22" t="s">
        <v>20</v>
      </c>
      <c r="G474" s="23" t="n">
        <v>1</v>
      </c>
      <c r="H474" s="24" t="n">
        <v>1</v>
      </c>
      <c r="I474" s="24" t="n">
        <v>34.28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4"/>
      <c r="O474" s="22"/>
    </row>
    <row collapsed="false" customFormat="false" customHeight="false" hidden="false" ht="12.1" outlineLevel="0" r="475">
      <c r="A475" s="21" t="n">
        <v>45407.503784722</v>
      </c>
      <c r="B475" s="22" t="s">
        <v>891</v>
      </c>
      <c r="C475" s="22" t="s">
        <v>908</v>
      </c>
      <c r="D475" s="22" t="s">
        <v>891</v>
      </c>
      <c r="E475" s="22" t="s">
        <v>891</v>
      </c>
      <c r="F475" s="22" t="s">
        <v>20</v>
      </c>
      <c r="G475" s="23" t="n">
        <v>1</v>
      </c>
      <c r="H475" s="24" t="n">
        <v>1</v>
      </c>
      <c r="I475" s="24" t="n">
        <v>39.13</v>
      </c>
      <c r="J475" s="24" t="n">
        <v>0</v>
      </c>
      <c r="K475" s="24" t="n">
        <v>0</v>
      </c>
      <c r="L475" s="24" t="n">
        <v>0</v>
      </c>
      <c r="M475" s="6" t="s">
        <f>=I475+J475+K475+L475</f>
      </c>
      <c r="N475" s="24"/>
      <c r="O475" s="22"/>
    </row>
    <row collapsed="false" customFormat="false" customHeight="false" hidden="false" ht="12.1" outlineLevel="0" r="476">
      <c r="A476" s="21" t="n">
        <v>45407.567141204</v>
      </c>
      <c r="B476" s="22" t="s">
        <v>901</v>
      </c>
      <c r="C476" s="22" t="s">
        <v>1040</v>
      </c>
      <c r="D476" s="22" t="s">
        <v>901</v>
      </c>
      <c r="E476" s="22" t="s">
        <v>901</v>
      </c>
      <c r="F476" s="22" t="s">
        <v>20</v>
      </c>
      <c r="G476" s="23" t="n">
        <v>1</v>
      </c>
      <c r="H476" s="24" t="n">
        <v>1</v>
      </c>
      <c r="I476" s="24" t="n">
        <v>1000</v>
      </c>
      <c r="J476" s="24" t="n">
        <v>0</v>
      </c>
      <c r="K476" s="24" t="n">
        <v>0</v>
      </c>
      <c r="L476" s="24" t="n">
        <v>0</v>
      </c>
      <c r="M476" s="6" t="s">
        <f>=I476+J476+K476+L476</f>
      </c>
      <c r="N476" s="24"/>
      <c r="O476" s="22"/>
    </row>
    <row collapsed="false" customFormat="false" customHeight="false" hidden="false" ht="12.1" outlineLevel="0" r="477">
      <c r="A477" s="21" t="n">
        <v>45407.662430556</v>
      </c>
      <c r="B477" s="22" t="s">
        <v>891</v>
      </c>
      <c r="C477" s="22" t="s">
        <v>1002</v>
      </c>
      <c r="D477" s="22" t="s">
        <v>891</v>
      </c>
      <c r="E477" s="22" t="s">
        <v>891</v>
      </c>
      <c r="F477" s="22" t="s">
        <v>20</v>
      </c>
      <c r="G477" s="23" t="n">
        <v>1</v>
      </c>
      <c r="H477" s="24" t="n">
        <v>1</v>
      </c>
      <c r="I477" s="24" t="n">
        <v>29.18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4"/>
      <c r="O477" s="22"/>
    </row>
    <row collapsed="false" customFormat="false" customHeight="false" hidden="false" ht="12.1" outlineLevel="0" r="478">
      <c r="A478" s="21" t="n">
        <v>45407.757743056</v>
      </c>
      <c r="B478" s="22" t="s">
        <v>891</v>
      </c>
      <c r="C478" s="22" t="s">
        <v>1008</v>
      </c>
      <c r="D478" s="22" t="s">
        <v>891</v>
      </c>
      <c r="E478" s="22" t="s">
        <v>891</v>
      </c>
      <c r="F478" s="22" t="s">
        <v>20</v>
      </c>
      <c r="G478" s="23" t="n">
        <v>1</v>
      </c>
      <c r="H478" s="24" t="n">
        <v>1</v>
      </c>
      <c r="I478" s="24" t="n">
        <v>43.1</v>
      </c>
      <c r="J478" s="24" t="n">
        <v>0</v>
      </c>
      <c r="K478" s="24" t="n">
        <v>0</v>
      </c>
      <c r="L478" s="24" t="n">
        <v>0</v>
      </c>
      <c r="M478" s="6" t="s">
        <f>=I478+J478+K478+L478</f>
      </c>
      <c r="N478" s="24"/>
      <c r="O478" s="22"/>
    </row>
    <row collapsed="false" customFormat="false" customHeight="false" hidden="false" ht="12.1" outlineLevel="0" r="479">
      <c r="A479" s="21" t="n">
        <v>45415.462268519</v>
      </c>
      <c r="B479" s="22" t="s">
        <v>891</v>
      </c>
      <c r="C479" s="22" t="s">
        <v>929</v>
      </c>
      <c r="D479" s="22" t="s">
        <v>891</v>
      </c>
      <c r="E479" s="22" t="s">
        <v>891</v>
      </c>
      <c r="F479" s="22" t="s">
        <v>20</v>
      </c>
      <c r="G479" s="23" t="n">
        <v>1</v>
      </c>
      <c r="H479" s="24" t="n">
        <v>1</v>
      </c>
      <c r="I479" s="24" t="n">
        <v>42.38</v>
      </c>
      <c r="J479" s="24" t="n">
        <v>0</v>
      </c>
      <c r="K479" s="24" t="n">
        <v>0</v>
      </c>
      <c r="L479" s="24" t="n">
        <v>0</v>
      </c>
      <c r="M479" s="6" t="s">
        <f>=I479+J479+K479+L479</f>
      </c>
      <c r="N479" s="24"/>
      <c r="O479" s="22"/>
    </row>
    <row collapsed="false" customFormat="false" customHeight="false" hidden="false" ht="12.1" outlineLevel="0" r="480">
      <c r="A480" s="21" t="n">
        <v>45415.589467593</v>
      </c>
      <c r="B480" s="22" t="s">
        <v>891</v>
      </c>
      <c r="C480" s="22" t="s">
        <v>1009</v>
      </c>
      <c r="D480" s="22" t="s">
        <v>891</v>
      </c>
      <c r="E480" s="22" t="s">
        <v>891</v>
      </c>
      <c r="F480" s="22" t="s">
        <v>20</v>
      </c>
      <c r="G480" s="23" t="n">
        <v>1</v>
      </c>
      <c r="H480" s="24" t="n">
        <v>1</v>
      </c>
      <c r="I480" s="24" t="n">
        <v>39.1</v>
      </c>
      <c r="J480" s="24" t="n">
        <v>0</v>
      </c>
      <c r="K480" s="24" t="n">
        <v>0</v>
      </c>
      <c r="L480" s="24" t="n">
        <v>0</v>
      </c>
      <c r="M480" s="6" t="s">
        <f>=I480+J480+K480+L480</f>
      </c>
      <c r="N480" s="24"/>
      <c r="O480" s="22"/>
    </row>
    <row collapsed="false" customFormat="false" customHeight="false" hidden="false" ht="12.1" outlineLevel="0" r="481">
      <c r="A481" s="21" t="n">
        <v>45415.72900463</v>
      </c>
      <c r="B481" s="22" t="s">
        <v>891</v>
      </c>
      <c r="C481" s="22" t="s">
        <v>945</v>
      </c>
      <c r="D481" s="22" t="s">
        <v>891</v>
      </c>
      <c r="E481" s="22" t="s">
        <v>891</v>
      </c>
      <c r="F481" s="22" t="s">
        <v>20</v>
      </c>
      <c r="G481" s="23" t="n">
        <v>1</v>
      </c>
      <c r="H481" s="24" t="n">
        <v>1</v>
      </c>
      <c r="I481" s="24" t="n">
        <v>28.22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2"/>
    </row>
    <row collapsed="false" customFormat="false" customHeight="false" hidden="false" ht="12.1" outlineLevel="0" r="482">
      <c r="A482" s="21" t="n">
        <v>45418.454618056</v>
      </c>
      <c r="B482" s="22" t="s">
        <v>884</v>
      </c>
      <c r="C482" s="22" t="s">
        <v>336</v>
      </c>
      <c r="D482" s="22" t="s">
        <v>884</v>
      </c>
      <c r="E482" s="22" t="s">
        <v>884</v>
      </c>
      <c r="F482" s="22" t="s">
        <v>20</v>
      </c>
      <c r="G482" s="23" t="n">
        <v>1</v>
      </c>
      <c r="H482" s="24" t="n">
        <v>1</v>
      </c>
      <c r="I482" s="24" t="n">
        <v>11000</v>
      </c>
      <c r="J482" s="24" t="n">
        <v>0</v>
      </c>
      <c r="K482" s="24" t="n">
        <v>0</v>
      </c>
      <c r="L482" s="24" t="n">
        <v>0</v>
      </c>
      <c r="M482" s="6" t="s">
        <f>=I482+J482+K482+L482</f>
      </c>
      <c r="N482" s="24"/>
      <c r="O482" s="22"/>
    </row>
    <row collapsed="false" customFormat="false" customHeight="false" hidden="false" ht="12.1" outlineLevel="0" r="483">
      <c r="A483" s="20" t="n">
        <v>45418.464780093</v>
      </c>
      <c r="B483" s="2" t="s">
        <v>17</v>
      </c>
      <c r="C483" s="2" t="s">
        <v>940</v>
      </c>
      <c r="D483" s="2" t="s">
        <v>757</v>
      </c>
      <c r="E483" s="2" t="s">
        <v>18</v>
      </c>
      <c r="F483" s="2" t="s">
        <v>20</v>
      </c>
      <c r="G483" s="7" t="n">
        <v>10</v>
      </c>
      <c r="H483" s="6" t="n">
        <v>307.32</v>
      </c>
      <c r="I483" s="6" t="n">
        <v>-3073.2</v>
      </c>
      <c r="J483" s="6" t="n">
        <v>0</v>
      </c>
      <c r="K483" s="6" t="n">
        <v>-9.22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45418.465219907</v>
      </c>
      <c r="B484" s="2" t="s">
        <v>31</v>
      </c>
      <c r="C484" s="2" t="s">
        <v>906</v>
      </c>
      <c r="D484" s="2" t="s">
        <v>757</v>
      </c>
      <c r="E484" s="2" t="s">
        <v>18</v>
      </c>
      <c r="F484" s="2" t="s">
        <v>20</v>
      </c>
      <c r="G484" s="7" t="n">
        <v>10</v>
      </c>
      <c r="H484" s="6" t="n">
        <v>155.44</v>
      </c>
      <c r="I484" s="6" t="n">
        <v>-1554.4</v>
      </c>
      <c r="J484" s="6" t="n">
        <v>0</v>
      </c>
      <c r="K484" s="6" t="n">
        <v>-4.66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20" t="n">
        <v>45418.465590278</v>
      </c>
      <c r="B485" s="2" t="s">
        <v>31</v>
      </c>
      <c r="C485" s="2" t="s">
        <v>906</v>
      </c>
      <c r="D485" s="2" t="s">
        <v>757</v>
      </c>
      <c r="E485" s="2" t="s">
        <v>18</v>
      </c>
      <c r="F485" s="2" t="s">
        <v>20</v>
      </c>
      <c r="G485" s="7" t="n">
        <v>10</v>
      </c>
      <c r="H485" s="6" t="n">
        <v>155.41</v>
      </c>
      <c r="I485" s="6" t="n">
        <v>-1554.1</v>
      </c>
      <c r="J485" s="6" t="n">
        <v>0</v>
      </c>
      <c r="K485" s="6" t="n">
        <v>-4.66</v>
      </c>
      <c r="L485" s="6" t="n">
        <v>0</v>
      </c>
      <c r="M485" s="6" t="s">
        <f>=I485+J485+K485+L485</f>
      </c>
      <c r="N485" s="6"/>
      <c r="O485" s="2"/>
    </row>
    <row collapsed="false" customFormat="false" customHeight="false" hidden="false" ht="12.1" outlineLevel="0" r="486">
      <c r="A486" s="20" t="n">
        <v>45418.466076389</v>
      </c>
      <c r="B486" s="2" t="s">
        <v>74</v>
      </c>
      <c r="C486" s="2" t="s">
        <v>1041</v>
      </c>
      <c r="D486" s="2" t="s">
        <v>757</v>
      </c>
      <c r="E486" s="2" t="s">
        <v>18</v>
      </c>
      <c r="F486" s="2" t="s">
        <v>20</v>
      </c>
      <c r="G486" s="7" t="n">
        <v>10</v>
      </c>
      <c r="H486" s="6" t="n">
        <v>153.66</v>
      </c>
      <c r="I486" s="6" t="n">
        <v>-1536.6</v>
      </c>
      <c r="J486" s="6" t="n">
        <v>0</v>
      </c>
      <c r="K486" s="6" t="n">
        <v>-4.61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45418.466493056</v>
      </c>
      <c r="B487" s="2" t="s">
        <v>28</v>
      </c>
      <c r="C487" s="2" t="s">
        <v>944</v>
      </c>
      <c r="D487" s="2" t="s">
        <v>757</v>
      </c>
      <c r="E487" s="2" t="s">
        <v>18</v>
      </c>
      <c r="F487" s="2" t="s">
        <v>20</v>
      </c>
      <c r="G487" s="7" t="n">
        <v>10</v>
      </c>
      <c r="H487" s="6" t="n">
        <v>306.91</v>
      </c>
      <c r="I487" s="6" t="n">
        <v>-3069.1</v>
      </c>
      <c r="J487" s="6" t="n">
        <v>0</v>
      </c>
      <c r="K487" s="6" t="n">
        <v>-9.21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45418.466840278</v>
      </c>
      <c r="B488" s="2" t="s">
        <v>37</v>
      </c>
      <c r="C488" s="2" t="s">
        <v>904</v>
      </c>
      <c r="D488" s="2" t="s">
        <v>757</v>
      </c>
      <c r="E488" s="2" t="s">
        <v>18</v>
      </c>
      <c r="F488" s="2" t="s">
        <v>20</v>
      </c>
      <c r="G488" s="7" t="n">
        <v>2</v>
      </c>
      <c r="H488" s="6" t="n">
        <v>834.9</v>
      </c>
      <c r="I488" s="6" t="n">
        <v>-1669.8</v>
      </c>
      <c r="J488" s="6" t="n">
        <v>0</v>
      </c>
      <c r="K488" s="6" t="n">
        <v>-5.01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1" t="n">
        <v>45428.461145833</v>
      </c>
      <c r="B489" s="22" t="s">
        <v>891</v>
      </c>
      <c r="C489" s="22" t="s">
        <v>930</v>
      </c>
      <c r="D489" s="22" t="s">
        <v>891</v>
      </c>
      <c r="E489" s="22" t="s">
        <v>891</v>
      </c>
      <c r="F489" s="22" t="s">
        <v>20</v>
      </c>
      <c r="G489" s="23" t="n">
        <v>1</v>
      </c>
      <c r="H489" s="24" t="n">
        <v>1</v>
      </c>
      <c r="I489" s="24" t="n">
        <v>173.52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4"/>
      <c r="O489" s="22"/>
    </row>
    <row collapsed="false" customFormat="false" customHeight="false" hidden="false" ht="12.1" outlineLevel="0" r="490">
      <c r="A490" s="21" t="n">
        <v>45428.524108796</v>
      </c>
      <c r="B490" s="22" t="s">
        <v>891</v>
      </c>
      <c r="C490" s="22" t="s">
        <v>1042</v>
      </c>
      <c r="D490" s="22" t="s">
        <v>891</v>
      </c>
      <c r="E490" s="22" t="s">
        <v>891</v>
      </c>
      <c r="F490" s="22" t="s">
        <v>20</v>
      </c>
      <c r="G490" s="23" t="n">
        <v>1</v>
      </c>
      <c r="H490" s="24" t="n">
        <v>1</v>
      </c>
      <c r="I490" s="24" t="n">
        <v>4.67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4"/>
      <c r="O490" s="22"/>
    </row>
    <row collapsed="false" customFormat="false" customHeight="false" hidden="false" ht="12.1" outlineLevel="0" r="491">
      <c r="A491" s="21" t="n">
        <v>45433.579652778</v>
      </c>
      <c r="B491" s="22" t="s">
        <v>901</v>
      </c>
      <c r="C491" s="22" t="s">
        <v>1043</v>
      </c>
      <c r="D491" s="22" t="s">
        <v>901</v>
      </c>
      <c r="E491" s="22" t="s">
        <v>901</v>
      </c>
      <c r="F491" s="22" t="s">
        <v>20</v>
      </c>
      <c r="G491" s="23" t="n">
        <v>1</v>
      </c>
      <c r="H491" s="24" t="n">
        <v>1</v>
      </c>
      <c r="I491" s="24" t="n">
        <v>300</v>
      </c>
      <c r="J491" s="24" t="n">
        <v>0</v>
      </c>
      <c r="K491" s="24" t="n">
        <v>0</v>
      </c>
      <c r="L491" s="24" t="n">
        <v>0</v>
      </c>
      <c r="M491" s="6" t="s">
        <f>=I491+J491+K491+L491</f>
      </c>
      <c r="N491" s="24"/>
      <c r="O491" s="22"/>
    </row>
    <row collapsed="false" customFormat="false" customHeight="false" hidden="false" ht="12.1" outlineLevel="0" r="492">
      <c r="A492" s="21" t="n">
        <v>45433.580532407</v>
      </c>
      <c r="B492" s="22" t="s">
        <v>891</v>
      </c>
      <c r="C492" s="22" t="s">
        <v>965</v>
      </c>
      <c r="D492" s="22" t="s">
        <v>891</v>
      </c>
      <c r="E492" s="22" t="s">
        <v>891</v>
      </c>
      <c r="F492" s="22" t="s">
        <v>20</v>
      </c>
      <c r="G492" s="23" t="n">
        <v>1</v>
      </c>
      <c r="H492" s="24" t="n">
        <v>1</v>
      </c>
      <c r="I492" s="24" t="n">
        <v>64.82</v>
      </c>
      <c r="J492" s="24" t="n">
        <v>0</v>
      </c>
      <c r="K492" s="24" t="n">
        <v>0</v>
      </c>
      <c r="L492" s="24" t="n">
        <v>0</v>
      </c>
      <c r="M492" s="6" t="s">
        <f>=I492+J492+K492+L492</f>
      </c>
      <c r="N492" s="24"/>
      <c r="O492" s="22"/>
    </row>
    <row collapsed="false" customFormat="false" customHeight="false" hidden="false" ht="12.1" outlineLevel="0" r="493">
      <c r="A493" s="21" t="n">
        <v>45435.526087963</v>
      </c>
      <c r="B493" s="22" t="s">
        <v>891</v>
      </c>
      <c r="C493" s="22" t="s">
        <v>932</v>
      </c>
      <c r="D493" s="22" t="s">
        <v>891</v>
      </c>
      <c r="E493" s="22" t="s">
        <v>891</v>
      </c>
      <c r="F493" s="22" t="s">
        <v>20</v>
      </c>
      <c r="G493" s="23" t="n">
        <v>1</v>
      </c>
      <c r="H493" s="24" t="n">
        <v>1</v>
      </c>
      <c r="I493" s="24" t="n">
        <v>325.35</v>
      </c>
      <c r="J493" s="24" t="n">
        <v>0</v>
      </c>
      <c r="K493" s="24" t="n">
        <v>0</v>
      </c>
      <c r="L493" s="24" t="n">
        <v>0</v>
      </c>
      <c r="M493" s="6" t="s">
        <f>=I493+J493+K493+L493</f>
      </c>
      <c r="N493" s="24"/>
      <c r="O493" s="22"/>
    </row>
    <row collapsed="false" customFormat="false" customHeight="false" hidden="false" ht="12.1" outlineLevel="0" r="494">
      <c r="A494" s="21" t="n">
        <v>45435.662974537</v>
      </c>
      <c r="B494" s="22" t="s">
        <v>891</v>
      </c>
      <c r="C494" s="22" t="s">
        <v>1035</v>
      </c>
      <c r="D494" s="22" t="s">
        <v>891</v>
      </c>
      <c r="E494" s="22" t="s">
        <v>891</v>
      </c>
      <c r="F494" s="22" t="s">
        <v>20</v>
      </c>
      <c r="G494" s="23" t="n">
        <v>1</v>
      </c>
      <c r="H494" s="24" t="n">
        <v>1</v>
      </c>
      <c r="I494" s="24" t="n">
        <v>14.4</v>
      </c>
      <c r="J494" s="24" t="n">
        <v>0</v>
      </c>
      <c r="K494" s="24" t="n">
        <v>0</v>
      </c>
      <c r="L494" s="24" t="n">
        <v>0</v>
      </c>
      <c r="M494" s="6" t="s">
        <f>=I494+J494+K494+L494</f>
      </c>
      <c r="N494" s="24"/>
      <c r="O494" s="22"/>
    </row>
    <row collapsed="false" customFormat="false" customHeight="false" hidden="false" ht="12.1" outlineLevel="0" r="495">
      <c r="A495" s="21" t="n">
        <v>45435.687453704</v>
      </c>
      <c r="B495" s="22" t="s">
        <v>891</v>
      </c>
      <c r="C495" s="22" t="s">
        <v>1011</v>
      </c>
      <c r="D495" s="22" t="s">
        <v>891</v>
      </c>
      <c r="E495" s="22" t="s">
        <v>891</v>
      </c>
      <c r="F495" s="22" t="s">
        <v>20</v>
      </c>
      <c r="G495" s="23" t="n">
        <v>1</v>
      </c>
      <c r="H495" s="24" t="n">
        <v>1</v>
      </c>
      <c r="I495" s="24" t="n">
        <v>81.78</v>
      </c>
      <c r="J495" s="24" t="n">
        <v>0</v>
      </c>
      <c r="K495" s="24" t="n">
        <v>0</v>
      </c>
      <c r="L495" s="24" t="n">
        <v>0</v>
      </c>
      <c r="M495" s="6" t="s">
        <f>=I495+J495+K495+L495</f>
      </c>
      <c r="N495" s="24"/>
      <c r="O495" s="22"/>
    </row>
    <row collapsed="false" customFormat="false" customHeight="false" hidden="false" ht="12.1" outlineLevel="0" r="496">
      <c r="A496" s="21" t="n">
        <v>45435.698819444</v>
      </c>
      <c r="B496" s="22" t="s">
        <v>891</v>
      </c>
      <c r="C496" s="22" t="s">
        <v>892</v>
      </c>
      <c r="D496" s="22" t="s">
        <v>891</v>
      </c>
      <c r="E496" s="22" t="s">
        <v>891</v>
      </c>
      <c r="F496" s="22" t="s">
        <v>20</v>
      </c>
      <c r="G496" s="23" t="n">
        <v>1</v>
      </c>
      <c r="H496" s="24" t="n">
        <v>1</v>
      </c>
      <c r="I496" s="24" t="n">
        <v>5.36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2"/>
    </row>
    <row collapsed="false" customFormat="false" customHeight="false" hidden="false" ht="12.1" outlineLevel="0" r="497">
      <c r="A497" s="21" t="n">
        <v>45436.507858796</v>
      </c>
      <c r="B497" s="22" t="s">
        <v>891</v>
      </c>
      <c r="C497" s="22" t="s">
        <v>970</v>
      </c>
      <c r="D497" s="22" t="s">
        <v>891</v>
      </c>
      <c r="E497" s="22" t="s">
        <v>891</v>
      </c>
      <c r="F497" s="22" t="s">
        <v>20</v>
      </c>
      <c r="G497" s="23" t="n">
        <v>1</v>
      </c>
      <c r="H497" s="24" t="n">
        <v>1</v>
      </c>
      <c r="I497" s="24" t="n">
        <v>8.66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4"/>
      <c r="O497" s="22"/>
    </row>
    <row collapsed="false" customFormat="false" customHeight="false" hidden="false" ht="12.1" outlineLevel="0" r="498">
      <c r="A498" s="21" t="n">
        <v>45440.676631944</v>
      </c>
      <c r="B498" s="22" t="s">
        <v>891</v>
      </c>
      <c r="C498" s="22" t="s">
        <v>1002</v>
      </c>
      <c r="D498" s="22" t="s">
        <v>891</v>
      </c>
      <c r="E498" s="22" t="s">
        <v>891</v>
      </c>
      <c r="F498" s="22" t="s">
        <v>20</v>
      </c>
      <c r="G498" s="23" t="n">
        <v>1</v>
      </c>
      <c r="H498" s="24" t="n">
        <v>1</v>
      </c>
      <c r="I498" s="24" t="n">
        <v>29.14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4"/>
      <c r="O498" s="22"/>
    </row>
    <row collapsed="false" customFormat="false" customHeight="false" hidden="false" ht="12.1" outlineLevel="0" r="499">
      <c r="A499" s="21" t="n">
        <v>45442.446111111</v>
      </c>
      <c r="B499" s="22" t="s">
        <v>891</v>
      </c>
      <c r="C499" s="22" t="s">
        <v>1044</v>
      </c>
      <c r="D499" s="22" t="s">
        <v>891</v>
      </c>
      <c r="E499" s="22" t="s">
        <v>891</v>
      </c>
      <c r="F499" s="22" t="s">
        <v>20</v>
      </c>
      <c r="G499" s="23" t="n">
        <v>1</v>
      </c>
      <c r="H499" s="24" t="n">
        <v>1</v>
      </c>
      <c r="I499" s="24" t="n">
        <v>284.22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1" t="n">
        <v>45446.464988426</v>
      </c>
      <c r="B500" s="22" t="s">
        <v>891</v>
      </c>
      <c r="C500" s="22" t="s">
        <v>933</v>
      </c>
      <c r="D500" s="22" t="s">
        <v>891</v>
      </c>
      <c r="E500" s="22" t="s">
        <v>891</v>
      </c>
      <c r="F500" s="22" t="s">
        <v>20</v>
      </c>
      <c r="G500" s="23" t="n">
        <v>1</v>
      </c>
      <c r="H500" s="24" t="n">
        <v>1</v>
      </c>
      <c r="I500" s="24" t="n">
        <v>24.81</v>
      </c>
      <c r="J500" s="24" t="n">
        <v>0</v>
      </c>
      <c r="K500" s="24" t="n">
        <v>0</v>
      </c>
      <c r="L500" s="24" t="n">
        <v>0</v>
      </c>
      <c r="M500" s="6" t="s">
        <f>=I500+J500+K500+L500</f>
      </c>
      <c r="N500" s="24"/>
      <c r="O500" s="22"/>
    </row>
    <row collapsed="false" customFormat="false" customHeight="false" hidden="false" ht="12.1" outlineLevel="0" r="501">
      <c r="A501" s="21" t="n">
        <v>45446.537881944</v>
      </c>
      <c r="B501" s="22" t="s">
        <v>884</v>
      </c>
      <c r="C501" s="22" t="s">
        <v>336</v>
      </c>
      <c r="D501" s="22" t="s">
        <v>884</v>
      </c>
      <c r="E501" s="22" t="s">
        <v>884</v>
      </c>
      <c r="F501" s="22" t="s">
        <v>20</v>
      </c>
      <c r="G501" s="23" t="n">
        <v>1</v>
      </c>
      <c r="H501" s="24" t="n">
        <v>1</v>
      </c>
      <c r="I501" s="24" t="n">
        <v>11200</v>
      </c>
      <c r="J501" s="24" t="n">
        <v>0</v>
      </c>
      <c r="K501" s="24" t="n">
        <v>0</v>
      </c>
      <c r="L501" s="24" t="n">
        <v>0</v>
      </c>
      <c r="M501" s="6" t="s">
        <f>=I501+J501+K501+L501</f>
      </c>
      <c r="N501" s="24"/>
      <c r="O501" s="22"/>
    </row>
    <row collapsed="false" customFormat="false" customHeight="false" hidden="false" ht="12.1" outlineLevel="0" r="502">
      <c r="A502" s="20" t="n">
        <v>45447.438101852</v>
      </c>
      <c r="B502" s="2" t="s">
        <v>105</v>
      </c>
      <c r="C502" s="2" t="s">
        <v>895</v>
      </c>
      <c r="D502" s="2" t="s">
        <v>757</v>
      </c>
      <c r="E502" s="2" t="s">
        <v>96</v>
      </c>
      <c r="F502" s="2" t="s">
        <v>20</v>
      </c>
      <c r="G502" s="7" t="n">
        <v>1</v>
      </c>
      <c r="H502" s="6" t="n">
        <v>105.479</v>
      </c>
      <c r="I502" s="6" t="n">
        <v>-1054.79</v>
      </c>
      <c r="J502" s="6" t="n">
        <v>-9.8</v>
      </c>
      <c r="K502" s="6" t="n">
        <v>-3.16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45447.438402778</v>
      </c>
      <c r="B503" s="2" t="s">
        <v>141</v>
      </c>
      <c r="C503" s="2" t="s">
        <v>936</v>
      </c>
      <c r="D503" s="2" t="s">
        <v>757</v>
      </c>
      <c r="E503" s="2" t="s">
        <v>96</v>
      </c>
      <c r="F503" s="2" t="s">
        <v>20</v>
      </c>
      <c r="G503" s="7" t="n">
        <v>1</v>
      </c>
      <c r="H503" s="6" t="n">
        <v>104.665</v>
      </c>
      <c r="I503" s="6" t="n">
        <v>-1046.65</v>
      </c>
      <c r="J503" s="6" t="n">
        <v>-25.3</v>
      </c>
      <c r="K503" s="6" t="n">
        <v>-3.14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45447.438657407</v>
      </c>
      <c r="B504" s="2" t="s">
        <v>114</v>
      </c>
      <c r="C504" s="2" t="s">
        <v>964</v>
      </c>
      <c r="D504" s="2" t="s">
        <v>757</v>
      </c>
      <c r="E504" s="2" t="s">
        <v>96</v>
      </c>
      <c r="F504" s="2" t="s">
        <v>20</v>
      </c>
      <c r="G504" s="7" t="n">
        <v>1</v>
      </c>
      <c r="H504" s="6" t="n">
        <v>73.144</v>
      </c>
      <c r="I504" s="6" t="n">
        <v>-731.44</v>
      </c>
      <c r="J504" s="6" t="n">
        <v>-10.27</v>
      </c>
      <c r="K504" s="6" t="n">
        <v>-2.19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45447.438969907</v>
      </c>
      <c r="B505" s="2" t="s">
        <v>159</v>
      </c>
      <c r="C505" s="2" t="s">
        <v>1028</v>
      </c>
      <c r="D505" s="2" t="s">
        <v>757</v>
      </c>
      <c r="E505" s="2" t="s">
        <v>96</v>
      </c>
      <c r="F505" s="2" t="s">
        <v>20</v>
      </c>
      <c r="G505" s="7" t="n">
        <v>1</v>
      </c>
      <c r="H505" s="6" t="n">
        <v>79.742</v>
      </c>
      <c r="I505" s="6" t="n">
        <v>-797.42</v>
      </c>
      <c r="J505" s="6" t="n">
        <v>-22.44</v>
      </c>
      <c r="K505" s="6" t="n">
        <v>-2.39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45447.439293981</v>
      </c>
      <c r="B506" s="2" t="s">
        <v>126</v>
      </c>
      <c r="C506" s="2" t="s">
        <v>1027</v>
      </c>
      <c r="D506" s="2" t="s">
        <v>757</v>
      </c>
      <c r="E506" s="2" t="s">
        <v>96</v>
      </c>
      <c r="F506" s="2" t="s">
        <v>20</v>
      </c>
      <c r="G506" s="7" t="n">
        <v>1</v>
      </c>
      <c r="H506" s="6" t="n">
        <v>73.169</v>
      </c>
      <c r="I506" s="6" t="n">
        <v>-731.69</v>
      </c>
      <c r="J506" s="6" t="n">
        <v>-16.3</v>
      </c>
      <c r="K506" s="6" t="n">
        <v>-2.2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45447.439594907</v>
      </c>
      <c r="B507" s="2" t="s">
        <v>132</v>
      </c>
      <c r="C507" s="2" t="s">
        <v>927</v>
      </c>
      <c r="D507" s="2" t="s">
        <v>757</v>
      </c>
      <c r="E507" s="2" t="s">
        <v>96</v>
      </c>
      <c r="F507" s="2" t="s">
        <v>20</v>
      </c>
      <c r="G507" s="7" t="n">
        <v>1</v>
      </c>
      <c r="H507" s="6" t="n">
        <v>67.554</v>
      </c>
      <c r="I507" s="6" t="n">
        <v>-675.54</v>
      </c>
      <c r="J507" s="6" t="n">
        <v>-13.29</v>
      </c>
      <c r="K507" s="6" t="n">
        <v>-2.03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45447.440115741</v>
      </c>
      <c r="B508" s="2" t="s">
        <v>162</v>
      </c>
      <c r="C508" s="2" t="s">
        <v>1045</v>
      </c>
      <c r="D508" s="2" t="s">
        <v>757</v>
      </c>
      <c r="E508" s="2" t="s">
        <v>96</v>
      </c>
      <c r="F508" s="2" t="s">
        <v>20</v>
      </c>
      <c r="G508" s="7" t="n">
        <v>1</v>
      </c>
      <c r="H508" s="6" t="n">
        <v>66.662</v>
      </c>
      <c r="I508" s="6" t="n">
        <v>-666.62</v>
      </c>
      <c r="J508" s="6" t="n">
        <v>-23.82</v>
      </c>
      <c r="K508" s="6" t="n">
        <v>-2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45447.44037037</v>
      </c>
      <c r="B509" s="2" t="s">
        <v>108</v>
      </c>
      <c r="C509" s="2" t="s">
        <v>938</v>
      </c>
      <c r="D509" s="2" t="s">
        <v>757</v>
      </c>
      <c r="E509" s="2" t="s">
        <v>96</v>
      </c>
      <c r="F509" s="2" t="s">
        <v>20</v>
      </c>
      <c r="G509" s="7" t="n">
        <v>1</v>
      </c>
      <c r="H509" s="6" t="n">
        <v>57.899</v>
      </c>
      <c r="I509" s="6" t="n">
        <v>-578.99</v>
      </c>
      <c r="J509" s="6" t="n">
        <v>-21.48</v>
      </c>
      <c r="K509" s="6" t="n">
        <v>-1.74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45447.440636574</v>
      </c>
      <c r="B510" s="2" t="s">
        <v>95</v>
      </c>
      <c r="C510" s="2" t="s">
        <v>893</v>
      </c>
      <c r="D510" s="2" t="s">
        <v>757</v>
      </c>
      <c r="E510" s="2" t="s">
        <v>96</v>
      </c>
      <c r="F510" s="2" t="s">
        <v>20</v>
      </c>
      <c r="G510" s="7" t="n">
        <v>1</v>
      </c>
      <c r="H510" s="6" t="n">
        <v>54.843</v>
      </c>
      <c r="I510" s="6" t="n">
        <v>-548.43</v>
      </c>
      <c r="J510" s="6" t="n">
        <v>-21.06</v>
      </c>
      <c r="K510" s="6" t="n">
        <v>-1.65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45447.441238426</v>
      </c>
      <c r="B511" s="2" t="s">
        <v>120</v>
      </c>
      <c r="C511" s="2" t="s">
        <v>995</v>
      </c>
      <c r="D511" s="2" t="s">
        <v>757</v>
      </c>
      <c r="E511" s="2" t="s">
        <v>96</v>
      </c>
      <c r="F511" s="2" t="s">
        <v>20</v>
      </c>
      <c r="G511" s="7" t="n">
        <v>1</v>
      </c>
      <c r="H511" s="6" t="n">
        <v>72.299</v>
      </c>
      <c r="I511" s="6" t="n">
        <v>-722.99</v>
      </c>
      <c r="J511" s="6" t="n">
        <v>0</v>
      </c>
      <c r="K511" s="6" t="n">
        <v>-2.17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45447.441493056</v>
      </c>
      <c r="B512" s="2" t="s">
        <v>111</v>
      </c>
      <c r="C512" s="2" t="s">
        <v>928</v>
      </c>
      <c r="D512" s="2" t="s">
        <v>757</v>
      </c>
      <c r="E512" s="2" t="s">
        <v>96</v>
      </c>
      <c r="F512" s="2" t="s">
        <v>20</v>
      </c>
      <c r="G512" s="7" t="n">
        <v>1</v>
      </c>
      <c r="H512" s="6" t="n">
        <v>59.56</v>
      </c>
      <c r="I512" s="6" t="n">
        <v>-595.6</v>
      </c>
      <c r="J512" s="6" t="n">
        <v>-13.29</v>
      </c>
      <c r="K512" s="6" t="n">
        <v>-1.79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0" t="n">
        <v>45447.442083333</v>
      </c>
      <c r="B513" s="2" t="s">
        <v>105</v>
      </c>
      <c r="C513" s="2" t="s">
        <v>895</v>
      </c>
      <c r="D513" s="2" t="s">
        <v>757</v>
      </c>
      <c r="E513" s="2" t="s">
        <v>96</v>
      </c>
      <c r="F513" s="2" t="s">
        <v>20</v>
      </c>
      <c r="G513" s="7" t="n">
        <v>1</v>
      </c>
      <c r="H513" s="6" t="n">
        <v>105.479</v>
      </c>
      <c r="I513" s="6" t="n">
        <v>-1054.79</v>
      </c>
      <c r="J513" s="6" t="n">
        <v>-9.8</v>
      </c>
      <c r="K513" s="6" t="n">
        <v>-3.16</v>
      </c>
      <c r="L513" s="6" t="n">
        <v>0</v>
      </c>
      <c r="M513" s="6" t="s">
        <f>=I513+J513+K513+L513</f>
      </c>
      <c r="N513" s="6"/>
      <c r="O513" s="2"/>
    </row>
    <row collapsed="false" customFormat="false" customHeight="false" hidden="false" ht="12.1" outlineLevel="0" r="514">
      <c r="A514" s="20" t="n">
        <v>45447.442256944</v>
      </c>
      <c r="B514" s="2" t="s">
        <v>141</v>
      </c>
      <c r="C514" s="2" t="s">
        <v>936</v>
      </c>
      <c r="D514" s="2" t="s">
        <v>757</v>
      </c>
      <c r="E514" s="2" t="s">
        <v>96</v>
      </c>
      <c r="F514" s="2" t="s">
        <v>20</v>
      </c>
      <c r="G514" s="7" t="n">
        <v>1</v>
      </c>
      <c r="H514" s="6" t="n">
        <v>104.665</v>
      </c>
      <c r="I514" s="6" t="n">
        <v>-1046.65</v>
      </c>
      <c r="J514" s="6" t="n">
        <v>-25.3</v>
      </c>
      <c r="K514" s="6" t="n">
        <v>-3.14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45447.442511574</v>
      </c>
      <c r="B515" s="2" t="s">
        <v>114</v>
      </c>
      <c r="C515" s="2" t="s">
        <v>964</v>
      </c>
      <c r="D515" s="2" t="s">
        <v>757</v>
      </c>
      <c r="E515" s="2" t="s">
        <v>96</v>
      </c>
      <c r="F515" s="2" t="s">
        <v>20</v>
      </c>
      <c r="G515" s="7" t="n">
        <v>1</v>
      </c>
      <c r="H515" s="6" t="n">
        <v>73.142</v>
      </c>
      <c r="I515" s="6" t="n">
        <v>-731.42</v>
      </c>
      <c r="J515" s="6" t="n">
        <v>-10.27</v>
      </c>
      <c r="K515" s="6" t="n">
        <v>-2.19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45447.442743056</v>
      </c>
      <c r="B516" s="2" t="s">
        <v>159</v>
      </c>
      <c r="C516" s="2" t="s">
        <v>1028</v>
      </c>
      <c r="D516" s="2" t="s">
        <v>757</v>
      </c>
      <c r="E516" s="2" t="s">
        <v>96</v>
      </c>
      <c r="F516" s="2" t="s">
        <v>20</v>
      </c>
      <c r="G516" s="7" t="n">
        <v>1</v>
      </c>
      <c r="H516" s="6" t="n">
        <v>79.5</v>
      </c>
      <c r="I516" s="6" t="n">
        <v>-795</v>
      </c>
      <c r="J516" s="6" t="n">
        <v>-22.44</v>
      </c>
      <c r="K516" s="6" t="n">
        <v>-2.39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45447.442939815</v>
      </c>
      <c r="B517" s="2" t="s">
        <v>126</v>
      </c>
      <c r="C517" s="2" t="s">
        <v>1027</v>
      </c>
      <c r="D517" s="2" t="s">
        <v>757</v>
      </c>
      <c r="E517" s="2" t="s">
        <v>96</v>
      </c>
      <c r="F517" s="2" t="s">
        <v>20</v>
      </c>
      <c r="G517" s="7" t="n">
        <v>1</v>
      </c>
      <c r="H517" s="6" t="n">
        <v>73.102</v>
      </c>
      <c r="I517" s="6" t="n">
        <v>-731.02</v>
      </c>
      <c r="J517" s="6" t="n">
        <v>-16.3</v>
      </c>
      <c r="K517" s="6" t="n">
        <v>-2.19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1" t="n">
        <v>45447.633923611</v>
      </c>
      <c r="B518" s="22" t="s">
        <v>891</v>
      </c>
      <c r="C518" s="22" t="s">
        <v>1046</v>
      </c>
      <c r="D518" s="22" t="s">
        <v>891</v>
      </c>
      <c r="E518" s="22" t="s">
        <v>891</v>
      </c>
      <c r="F518" s="22" t="s">
        <v>20</v>
      </c>
      <c r="G518" s="23" t="n">
        <v>1</v>
      </c>
      <c r="H518" s="24" t="n">
        <v>1</v>
      </c>
      <c r="I518" s="24" t="n">
        <v>19.95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1" t="n">
        <v>45448.580787037</v>
      </c>
      <c r="B519" s="22" t="s">
        <v>891</v>
      </c>
      <c r="C519" s="22" t="s">
        <v>1012</v>
      </c>
      <c r="D519" s="22" t="s">
        <v>891</v>
      </c>
      <c r="E519" s="22" t="s">
        <v>891</v>
      </c>
      <c r="F519" s="22" t="s">
        <v>20</v>
      </c>
      <c r="G519" s="23" t="n">
        <v>1</v>
      </c>
      <c r="H519" s="24" t="n">
        <v>1</v>
      </c>
      <c r="I519" s="24" t="n">
        <v>56.1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2"/>
    </row>
    <row collapsed="false" customFormat="false" customHeight="false" hidden="false" ht="12.1" outlineLevel="0" r="520">
      <c r="A520" s="21" t="n">
        <v>45449.425752315</v>
      </c>
      <c r="B520" s="22" t="s">
        <v>891</v>
      </c>
      <c r="C520" s="22" t="s">
        <v>978</v>
      </c>
      <c r="D520" s="22" t="s">
        <v>891</v>
      </c>
      <c r="E520" s="22" t="s">
        <v>891</v>
      </c>
      <c r="F520" s="22" t="s">
        <v>20</v>
      </c>
      <c r="G520" s="23" t="n">
        <v>1</v>
      </c>
      <c r="H520" s="24" t="n">
        <v>1</v>
      </c>
      <c r="I520" s="24" t="n">
        <v>637.2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1" t="n">
        <v>45449.482881944</v>
      </c>
      <c r="B521" s="22" t="s">
        <v>891</v>
      </c>
      <c r="C521" s="22" t="s">
        <v>1015</v>
      </c>
      <c r="D521" s="22" t="s">
        <v>891</v>
      </c>
      <c r="E521" s="22" t="s">
        <v>891</v>
      </c>
      <c r="F521" s="22" t="s">
        <v>20</v>
      </c>
      <c r="G521" s="23" t="n">
        <v>1</v>
      </c>
      <c r="H521" s="24" t="n">
        <v>1</v>
      </c>
      <c r="I521" s="24" t="n">
        <v>390.96</v>
      </c>
      <c r="J521" s="24" t="n">
        <v>0</v>
      </c>
      <c r="K521" s="24" t="n">
        <v>0</v>
      </c>
      <c r="L521" s="24" t="n">
        <v>0</v>
      </c>
      <c r="M521" s="6" t="s">
        <f>=I521+J521+K521+L521</f>
      </c>
      <c r="N521" s="24"/>
      <c r="O521" s="22"/>
    </row>
    <row collapsed="false" customFormat="false" customHeight="false" hidden="false" ht="12.1" outlineLevel="0" r="522">
      <c r="A522" s="21" t="n">
        <v>45449.670300926</v>
      </c>
      <c r="B522" s="22" t="s">
        <v>891</v>
      </c>
      <c r="C522" s="22" t="s">
        <v>934</v>
      </c>
      <c r="D522" s="22" t="s">
        <v>891</v>
      </c>
      <c r="E522" s="22" t="s">
        <v>891</v>
      </c>
      <c r="F522" s="22" t="s">
        <v>20</v>
      </c>
      <c r="G522" s="23" t="n">
        <v>1</v>
      </c>
      <c r="H522" s="24" t="n">
        <v>1</v>
      </c>
      <c r="I522" s="24" t="n">
        <v>19.87</v>
      </c>
      <c r="J522" s="24" t="n">
        <v>0</v>
      </c>
      <c r="K522" s="24" t="n">
        <v>0</v>
      </c>
      <c r="L522" s="24" t="n">
        <v>0</v>
      </c>
      <c r="M522" s="6" t="s">
        <f>=I522+J522+K522+L522</f>
      </c>
      <c r="N522" s="24"/>
      <c r="O522" s="22"/>
    </row>
    <row collapsed="false" customFormat="false" customHeight="false" hidden="false" ht="12.1" outlineLevel="0" r="523">
      <c r="A523" s="21" t="n">
        <v>45449.671354167</v>
      </c>
      <c r="B523" s="22" t="s">
        <v>891</v>
      </c>
      <c r="C523" s="22" t="s">
        <v>977</v>
      </c>
      <c r="D523" s="22" t="s">
        <v>891</v>
      </c>
      <c r="E523" s="22" t="s">
        <v>891</v>
      </c>
      <c r="F523" s="22" t="s">
        <v>20</v>
      </c>
      <c r="G523" s="23" t="n">
        <v>1</v>
      </c>
      <c r="H523" s="24" t="n">
        <v>1</v>
      </c>
      <c r="I523" s="24" t="n">
        <v>65.32</v>
      </c>
      <c r="J523" s="24" t="n">
        <v>0</v>
      </c>
      <c r="K523" s="24" t="n">
        <v>0</v>
      </c>
      <c r="L523" s="24" t="n">
        <v>0</v>
      </c>
      <c r="M523" s="6" t="s">
        <f>=I523+J523+K523+L523</f>
      </c>
      <c r="N523" s="24"/>
      <c r="O523" s="22"/>
    </row>
    <row collapsed="false" customFormat="false" customHeight="false" hidden="false" ht="12.1" outlineLevel="0" r="524">
      <c r="A524" s="21" t="n">
        <v>45450.442164352</v>
      </c>
      <c r="B524" s="22" t="s">
        <v>901</v>
      </c>
      <c r="C524" s="22" t="s">
        <v>1033</v>
      </c>
      <c r="D524" s="22" t="s">
        <v>901</v>
      </c>
      <c r="E524" s="22" t="s">
        <v>901</v>
      </c>
      <c r="F524" s="22" t="s">
        <v>20</v>
      </c>
      <c r="G524" s="23" t="n">
        <v>1</v>
      </c>
      <c r="H524" s="24" t="n">
        <v>1</v>
      </c>
      <c r="I524" s="24" t="n">
        <v>67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4"/>
      <c r="O524" s="22"/>
    </row>
    <row collapsed="false" customFormat="false" customHeight="false" hidden="false" ht="12.1" outlineLevel="0" r="525">
      <c r="A525" s="21" t="n">
        <v>45450.444548611</v>
      </c>
      <c r="B525" s="22" t="s">
        <v>891</v>
      </c>
      <c r="C525" s="22" t="s">
        <v>1034</v>
      </c>
      <c r="D525" s="22" t="s">
        <v>891</v>
      </c>
      <c r="E525" s="22" t="s">
        <v>891</v>
      </c>
      <c r="F525" s="22" t="s">
        <v>20</v>
      </c>
      <c r="G525" s="23" t="n">
        <v>1</v>
      </c>
      <c r="H525" s="24" t="n">
        <v>1</v>
      </c>
      <c r="I525" s="24" t="n">
        <v>13.11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1" t="n">
        <v>45456.622650463</v>
      </c>
      <c r="B526" s="22" t="s">
        <v>891</v>
      </c>
      <c r="C526" s="22" t="s">
        <v>979</v>
      </c>
      <c r="D526" s="22" t="s">
        <v>891</v>
      </c>
      <c r="E526" s="22" t="s">
        <v>891</v>
      </c>
      <c r="F526" s="22" t="s">
        <v>20</v>
      </c>
      <c r="G526" s="23" t="n">
        <v>1</v>
      </c>
      <c r="H526" s="24" t="n">
        <v>1</v>
      </c>
      <c r="I526" s="24" t="n">
        <v>30.12</v>
      </c>
      <c r="J526" s="24" t="n">
        <v>0</v>
      </c>
      <c r="K526" s="24" t="n">
        <v>0</v>
      </c>
      <c r="L526" s="24" t="n">
        <v>0</v>
      </c>
      <c r="M526" s="6" t="s">
        <f>=I526+J526+K526+L526</f>
      </c>
      <c r="N526" s="24"/>
      <c r="O526" s="22"/>
    </row>
    <row collapsed="false" customFormat="false" customHeight="false" hidden="false" ht="12.1" outlineLevel="0" r="527">
      <c r="A527" s="21" t="n">
        <v>45462.718715278</v>
      </c>
      <c r="B527" s="22" t="s">
        <v>891</v>
      </c>
      <c r="C527" s="22" t="s">
        <v>980</v>
      </c>
      <c r="D527" s="22" t="s">
        <v>891</v>
      </c>
      <c r="E527" s="22" t="s">
        <v>891</v>
      </c>
      <c r="F527" s="22" t="s">
        <v>20</v>
      </c>
      <c r="G527" s="23" t="n">
        <v>1</v>
      </c>
      <c r="H527" s="24" t="n">
        <v>1</v>
      </c>
      <c r="I527" s="24" t="n">
        <v>326</v>
      </c>
      <c r="J527" s="24" t="n">
        <v>0</v>
      </c>
      <c r="K527" s="24" t="n">
        <v>0</v>
      </c>
      <c r="L527" s="24" t="n">
        <v>0</v>
      </c>
      <c r="M527" s="6" t="s">
        <f>=I527+J527+K527+L527</f>
      </c>
      <c r="N527" s="24"/>
      <c r="O527" s="22"/>
    </row>
    <row collapsed="false" customFormat="false" customHeight="false" hidden="false" ht="12.1" outlineLevel="0" r="528">
      <c r="A528" s="25" t="n">
        <v>45462.718715278</v>
      </c>
      <c r="B528" s="26" t="s">
        <v>917</v>
      </c>
      <c r="C528" s="26" t="s">
        <v>981</v>
      </c>
      <c r="D528" s="26" t="s">
        <v>917</v>
      </c>
      <c r="E528" s="26" t="s">
        <v>917</v>
      </c>
      <c r="F528" s="26" t="s">
        <v>20</v>
      </c>
      <c r="G528" s="27" t="n">
        <v>1</v>
      </c>
      <c r="H528" s="28" t="n">
        <v>-43</v>
      </c>
      <c r="I528" s="28" t="n">
        <v>-43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21" t="n">
        <v>45463.543993056</v>
      </c>
      <c r="B529" s="22" t="s">
        <v>891</v>
      </c>
      <c r="C529" s="22" t="s">
        <v>941</v>
      </c>
      <c r="D529" s="22" t="s">
        <v>891</v>
      </c>
      <c r="E529" s="22" t="s">
        <v>891</v>
      </c>
      <c r="F529" s="22" t="s">
        <v>20</v>
      </c>
      <c r="G529" s="23" t="n">
        <v>1</v>
      </c>
      <c r="H529" s="24" t="n">
        <v>1</v>
      </c>
      <c r="I529" s="24" t="n">
        <v>460.39</v>
      </c>
      <c r="J529" s="24" t="n">
        <v>0</v>
      </c>
      <c r="K529" s="24" t="n">
        <v>0</v>
      </c>
      <c r="L529" s="24" t="n">
        <v>0</v>
      </c>
      <c r="M529" s="6" t="s">
        <f>=I529+J529+K529+L529</f>
      </c>
      <c r="N529" s="24"/>
      <c r="O529" s="22"/>
    </row>
    <row collapsed="false" customFormat="false" customHeight="false" hidden="false" ht="12.1" outlineLevel="0" r="530">
      <c r="A530" s="21" t="n">
        <v>45468.571076389</v>
      </c>
      <c r="B530" s="22" t="s">
        <v>891</v>
      </c>
      <c r="C530" s="22" t="s">
        <v>1035</v>
      </c>
      <c r="D530" s="22" t="s">
        <v>891</v>
      </c>
      <c r="E530" s="22" t="s">
        <v>891</v>
      </c>
      <c r="F530" s="22" t="s">
        <v>20</v>
      </c>
      <c r="G530" s="23" t="n">
        <v>1</v>
      </c>
      <c r="H530" s="24" t="n">
        <v>1</v>
      </c>
      <c r="I530" s="24" t="n">
        <v>14.58</v>
      </c>
      <c r="J530" s="24" t="n">
        <v>0</v>
      </c>
      <c r="K530" s="24" t="n">
        <v>0</v>
      </c>
      <c r="L530" s="24" t="n">
        <v>0</v>
      </c>
      <c r="M530" s="6" t="s">
        <f>=I530+J530+K530+L530</f>
      </c>
      <c r="N530" s="24"/>
      <c r="O530" s="22"/>
    </row>
    <row collapsed="false" customFormat="false" customHeight="false" hidden="false" ht="12.1" outlineLevel="0" r="531">
      <c r="A531" s="21" t="n">
        <v>45468.689965278</v>
      </c>
      <c r="B531" s="22" t="s">
        <v>891</v>
      </c>
      <c r="C531" s="22" t="s">
        <v>1047</v>
      </c>
      <c r="D531" s="22" t="s">
        <v>891</v>
      </c>
      <c r="E531" s="22" t="s">
        <v>891</v>
      </c>
      <c r="F531" s="22" t="s">
        <v>20</v>
      </c>
      <c r="G531" s="23" t="n">
        <v>1</v>
      </c>
      <c r="H531" s="24" t="n">
        <v>1</v>
      </c>
      <c r="I531" s="24" t="n">
        <v>82.56</v>
      </c>
      <c r="J531" s="24" t="n">
        <v>0</v>
      </c>
      <c r="K531" s="24" t="n">
        <v>0</v>
      </c>
      <c r="L531" s="24" t="n">
        <v>0</v>
      </c>
      <c r="M531" s="6" t="s">
        <f>=I531+J531+K531+L531</f>
      </c>
      <c r="N531" s="24"/>
      <c r="O531" s="22"/>
    </row>
    <row collapsed="false" customFormat="false" customHeight="false" hidden="false" ht="12.1" outlineLevel="0" r="532">
      <c r="A532" s="25" t="n">
        <v>45468.689965278</v>
      </c>
      <c r="B532" s="26" t="s">
        <v>917</v>
      </c>
      <c r="C532" s="26" t="s">
        <v>1048</v>
      </c>
      <c r="D532" s="26" t="s">
        <v>917</v>
      </c>
      <c r="E532" s="26" t="s">
        <v>917</v>
      </c>
      <c r="F532" s="26" t="s">
        <v>20</v>
      </c>
      <c r="G532" s="27" t="n">
        <v>1</v>
      </c>
      <c r="H532" s="28" t="n">
        <v>-10</v>
      </c>
      <c r="I532" s="28" t="n">
        <v>-10</v>
      </c>
      <c r="J532" s="28" t="n">
        <v>0</v>
      </c>
      <c r="K532" s="28" t="n">
        <v>0</v>
      </c>
      <c r="L532" s="28" t="n">
        <v>0</v>
      </c>
      <c r="M532" s="6" t="s">
        <f>=I532+J532+K532+L532</f>
      </c>
      <c r="N532" s="28"/>
      <c r="O532" s="26"/>
    </row>
    <row collapsed="false" customFormat="false" customHeight="false" hidden="false" ht="12.1" outlineLevel="0" r="533">
      <c r="A533" s="21" t="n">
        <v>45469.47349537</v>
      </c>
      <c r="B533" s="22" t="s">
        <v>901</v>
      </c>
      <c r="C533" s="22" t="s">
        <v>1003</v>
      </c>
      <c r="D533" s="22" t="s">
        <v>901</v>
      </c>
      <c r="E533" s="22" t="s">
        <v>901</v>
      </c>
      <c r="F533" s="22" t="s">
        <v>20</v>
      </c>
      <c r="G533" s="23" t="n">
        <v>1</v>
      </c>
      <c r="H533" s="24" t="n">
        <v>1</v>
      </c>
      <c r="I533" s="24" t="n">
        <v>150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1" t="n">
        <v>45469.475659722</v>
      </c>
      <c r="B534" s="22" t="s">
        <v>891</v>
      </c>
      <c r="C534" s="22" t="s">
        <v>1004</v>
      </c>
      <c r="D534" s="22" t="s">
        <v>891</v>
      </c>
      <c r="E534" s="22" t="s">
        <v>891</v>
      </c>
      <c r="F534" s="22" t="s">
        <v>20</v>
      </c>
      <c r="G534" s="23" t="n">
        <v>1</v>
      </c>
      <c r="H534" s="24" t="n">
        <v>1</v>
      </c>
      <c r="I534" s="24" t="n">
        <v>15.71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4"/>
      <c r="O534" s="22"/>
    </row>
    <row collapsed="false" customFormat="false" customHeight="false" hidden="false" ht="12.1" outlineLevel="0" r="535">
      <c r="A535" s="21" t="n">
        <v>45469.590925926</v>
      </c>
      <c r="B535" s="22" t="s">
        <v>891</v>
      </c>
      <c r="C535" s="22" t="s">
        <v>1002</v>
      </c>
      <c r="D535" s="22" t="s">
        <v>891</v>
      </c>
      <c r="E535" s="22" t="s">
        <v>891</v>
      </c>
      <c r="F535" s="22" t="s">
        <v>20</v>
      </c>
      <c r="G535" s="23" t="n">
        <v>1</v>
      </c>
      <c r="H535" s="24" t="n">
        <v>1</v>
      </c>
      <c r="I535" s="24" t="n">
        <v>29.52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1" t="n">
        <v>45471.381203704</v>
      </c>
      <c r="B536" s="22" t="s">
        <v>884</v>
      </c>
      <c r="C536" s="22" t="s">
        <v>336</v>
      </c>
      <c r="D536" s="22" t="s">
        <v>884</v>
      </c>
      <c r="E536" s="22" t="s">
        <v>884</v>
      </c>
      <c r="F536" s="22" t="s">
        <v>20</v>
      </c>
      <c r="G536" s="23" t="n">
        <v>1</v>
      </c>
      <c r="H536" s="24" t="n">
        <v>1</v>
      </c>
      <c r="I536" s="24" t="n">
        <v>11200</v>
      </c>
      <c r="J536" s="24" t="n">
        <v>0</v>
      </c>
      <c r="K536" s="24" t="n">
        <v>0</v>
      </c>
      <c r="L536" s="24" t="n">
        <v>0</v>
      </c>
      <c r="M536" s="6" t="s">
        <f>=I536+J536+K536+L536</f>
      </c>
      <c r="N536" s="24"/>
      <c r="O536" s="22"/>
    </row>
    <row collapsed="false" customFormat="false" customHeight="false" hidden="false" ht="12.1" outlineLevel="0" r="537">
      <c r="A537" s="20" t="n">
        <v>45471.623935185</v>
      </c>
      <c r="B537" s="2" t="s">
        <v>90</v>
      </c>
      <c r="C537" s="2" t="s">
        <v>1049</v>
      </c>
      <c r="D537" s="2" t="s">
        <v>757</v>
      </c>
      <c r="E537" s="2" t="s">
        <v>18</v>
      </c>
      <c r="F537" s="2" t="s">
        <v>20</v>
      </c>
      <c r="G537" s="7" t="n">
        <v>10</v>
      </c>
      <c r="H537" s="6" t="n">
        <v>42.055</v>
      </c>
      <c r="I537" s="6" t="n">
        <v>-420.55</v>
      </c>
      <c r="J537" s="6" t="n">
        <v>0</v>
      </c>
      <c r="K537" s="6" t="n">
        <v>-1.26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45471.624351852</v>
      </c>
      <c r="B538" s="2" t="s">
        <v>92</v>
      </c>
      <c r="C538" s="2" t="s">
        <v>1050</v>
      </c>
      <c r="D538" s="2" t="s">
        <v>757</v>
      </c>
      <c r="E538" s="2" t="s">
        <v>18</v>
      </c>
      <c r="F538" s="2" t="s">
        <v>20</v>
      </c>
      <c r="G538" s="7" t="n">
        <v>10</v>
      </c>
      <c r="H538" s="6" t="n">
        <v>70.51</v>
      </c>
      <c r="I538" s="6" t="n">
        <v>-705.1</v>
      </c>
      <c r="J538" s="6" t="n">
        <v>0</v>
      </c>
      <c r="K538" s="6" t="n">
        <v>-2.12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0" t="n">
        <v>45471.624768519</v>
      </c>
      <c r="B539" s="2" t="s">
        <v>72</v>
      </c>
      <c r="C539" s="2" t="s">
        <v>1051</v>
      </c>
      <c r="D539" s="2" t="s">
        <v>757</v>
      </c>
      <c r="E539" s="2" t="s">
        <v>18</v>
      </c>
      <c r="F539" s="2" t="s">
        <v>20</v>
      </c>
      <c r="G539" s="7" t="n">
        <v>1000</v>
      </c>
      <c r="H539" s="6" t="n">
        <v>3.1295</v>
      </c>
      <c r="I539" s="6" t="n">
        <v>-3129.5</v>
      </c>
      <c r="J539" s="6" t="n">
        <v>0</v>
      </c>
      <c r="K539" s="6" t="n">
        <v>-9.39</v>
      </c>
      <c r="L539" s="6" t="n">
        <v>0</v>
      </c>
      <c r="M539" s="6" t="s">
        <f>=I539+J539+K539+L539</f>
      </c>
      <c r="N539" s="6"/>
      <c r="O539" s="2"/>
    </row>
    <row collapsed="false" customFormat="false" customHeight="false" hidden="false" ht="12.1" outlineLevel="0" r="540">
      <c r="A540" s="20" t="n">
        <v>45471.634895833</v>
      </c>
      <c r="B540" s="2" t="s">
        <v>180</v>
      </c>
      <c r="C540" s="2" t="s">
        <v>1052</v>
      </c>
      <c r="D540" s="2" t="s">
        <v>757</v>
      </c>
      <c r="E540" s="2" t="s">
        <v>96</v>
      </c>
      <c r="F540" s="2" t="s">
        <v>20</v>
      </c>
      <c r="G540" s="7" t="n">
        <v>1</v>
      </c>
      <c r="H540" s="6" t="n">
        <v>101.27</v>
      </c>
      <c r="I540" s="6" t="n">
        <v>-1012.7</v>
      </c>
      <c r="J540" s="6" t="n">
        <v>-0.93999999999994</v>
      </c>
      <c r="K540" s="6" t="n">
        <v>-3.04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45471.6353125</v>
      </c>
      <c r="B541" s="2" t="s">
        <v>108</v>
      </c>
      <c r="C541" s="2" t="s">
        <v>938</v>
      </c>
      <c r="D541" s="2" t="s">
        <v>757</v>
      </c>
      <c r="E541" s="2" t="s">
        <v>96</v>
      </c>
      <c r="F541" s="2" t="s">
        <v>20</v>
      </c>
      <c r="G541" s="7" t="n">
        <v>1</v>
      </c>
      <c r="H541" s="6" t="n">
        <v>56.589</v>
      </c>
      <c r="I541" s="6" t="n">
        <v>-565.89</v>
      </c>
      <c r="J541" s="6" t="n">
        <v>-26.46</v>
      </c>
      <c r="K541" s="6" t="n">
        <v>-1.7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45471.635810185</v>
      </c>
      <c r="B542" s="2" t="s">
        <v>192</v>
      </c>
      <c r="C542" s="2" t="s">
        <v>1029</v>
      </c>
      <c r="D542" s="2" t="s">
        <v>757</v>
      </c>
      <c r="E542" s="2" t="s">
        <v>96</v>
      </c>
      <c r="F542" s="2" t="s">
        <v>20</v>
      </c>
      <c r="G542" s="7" t="n">
        <v>1</v>
      </c>
      <c r="H542" s="6" t="n">
        <v>81.74</v>
      </c>
      <c r="I542" s="6" t="n">
        <v>-817.4</v>
      </c>
      <c r="J542" s="6" t="n">
        <v>-6.14</v>
      </c>
      <c r="K542" s="6" t="n">
        <v>-2.45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45471.638020833</v>
      </c>
      <c r="B543" s="2" t="s">
        <v>189</v>
      </c>
      <c r="C543" s="2" t="s">
        <v>1053</v>
      </c>
      <c r="D543" s="2" t="s">
        <v>757</v>
      </c>
      <c r="E543" s="2" t="s">
        <v>96</v>
      </c>
      <c r="F543" s="2" t="s">
        <v>20</v>
      </c>
      <c r="G543" s="7" t="n">
        <v>1</v>
      </c>
      <c r="H543" s="6" t="n">
        <v>87.15</v>
      </c>
      <c r="I543" s="6" t="n">
        <v>-871.5</v>
      </c>
      <c r="J543" s="6" t="n">
        <v>-19.87</v>
      </c>
      <c r="K543" s="6" t="n">
        <v>-2.61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45471.638368056</v>
      </c>
      <c r="B544" s="2" t="s">
        <v>180</v>
      </c>
      <c r="C544" s="2" t="s">
        <v>1052</v>
      </c>
      <c r="D544" s="2" t="s">
        <v>757</v>
      </c>
      <c r="E544" s="2" t="s">
        <v>96</v>
      </c>
      <c r="F544" s="2" t="s">
        <v>20</v>
      </c>
      <c r="G544" s="7" t="n">
        <v>1</v>
      </c>
      <c r="H544" s="6" t="n">
        <v>101.27</v>
      </c>
      <c r="I544" s="6" t="n">
        <v>-1012.7</v>
      </c>
      <c r="J544" s="6" t="n">
        <v>-0.93999999999994</v>
      </c>
      <c r="K544" s="6" t="n">
        <v>-3.04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45471.638530093</v>
      </c>
      <c r="B545" s="2" t="s">
        <v>171</v>
      </c>
      <c r="C545" s="2" t="s">
        <v>1054</v>
      </c>
      <c r="D545" s="2" t="s">
        <v>757</v>
      </c>
      <c r="E545" s="2" t="s">
        <v>96</v>
      </c>
      <c r="F545" s="2" t="s">
        <v>20</v>
      </c>
      <c r="G545" s="7" t="n">
        <v>2</v>
      </c>
      <c r="H545" s="6" t="n">
        <v>83.731617034048</v>
      </c>
      <c r="I545" s="6" t="n">
        <v>-2510.86</v>
      </c>
      <c r="J545" s="6" t="n">
        <v>-29.8</v>
      </c>
      <c r="K545" s="6" t="n">
        <v>-7.53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45471.639143519</v>
      </c>
      <c r="B546" s="2" t="s">
        <v>102</v>
      </c>
      <c r="C546" s="2" t="s">
        <v>935</v>
      </c>
      <c r="D546" s="2" t="s">
        <v>757</v>
      </c>
      <c r="E546" s="2" t="s">
        <v>96</v>
      </c>
      <c r="F546" s="2" t="s">
        <v>20</v>
      </c>
      <c r="G546" s="7" t="n">
        <v>4</v>
      </c>
      <c r="H546" s="6" t="n">
        <v>53.979</v>
      </c>
      <c r="I546" s="6" t="n">
        <v>-2159.16</v>
      </c>
      <c r="J546" s="6" t="n">
        <v>-20.24</v>
      </c>
      <c r="K546" s="6" t="n">
        <v>-6.48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1" t="n">
        <v>45471.675787037</v>
      </c>
      <c r="B547" s="22" t="s">
        <v>891</v>
      </c>
      <c r="C547" s="22" t="s">
        <v>983</v>
      </c>
      <c r="D547" s="22" t="s">
        <v>891</v>
      </c>
      <c r="E547" s="22" t="s">
        <v>891</v>
      </c>
      <c r="F547" s="22" t="s">
        <v>20</v>
      </c>
      <c r="G547" s="23" t="n">
        <v>1</v>
      </c>
      <c r="H547" s="24" t="n">
        <v>1</v>
      </c>
      <c r="I547" s="24" t="n">
        <v>173.5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4"/>
      <c r="O547" s="22"/>
    </row>
    <row collapsed="false" customFormat="false" customHeight="false" hidden="false" ht="12.1" outlineLevel="0" r="548">
      <c r="A548" s="25" t="n">
        <v>45471.675787037</v>
      </c>
      <c r="B548" s="26" t="s">
        <v>917</v>
      </c>
      <c r="C548" s="26" t="s">
        <v>984</v>
      </c>
      <c r="D548" s="26" t="s">
        <v>917</v>
      </c>
      <c r="E548" s="26" t="s">
        <v>917</v>
      </c>
      <c r="F548" s="26" t="s">
        <v>20</v>
      </c>
      <c r="G548" s="27" t="n">
        <v>1</v>
      </c>
      <c r="H548" s="28" t="n">
        <v>-23</v>
      </c>
      <c r="I548" s="28" t="n">
        <v>-23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45474.457997685</v>
      </c>
      <c r="B549" s="22" t="s">
        <v>901</v>
      </c>
      <c r="C549" s="22" t="s">
        <v>1055</v>
      </c>
      <c r="D549" s="22" t="s">
        <v>901</v>
      </c>
      <c r="E549" s="22" t="s">
        <v>901</v>
      </c>
      <c r="F549" s="22" t="s">
        <v>20</v>
      </c>
      <c r="G549" s="23" t="n">
        <v>1</v>
      </c>
      <c r="H549" s="24" t="n">
        <v>1</v>
      </c>
      <c r="I549" s="24" t="n">
        <v>400</v>
      </c>
      <c r="J549" s="24" t="n">
        <v>0</v>
      </c>
      <c r="K549" s="24" t="n">
        <v>0</v>
      </c>
      <c r="L549" s="24" t="n">
        <v>0</v>
      </c>
      <c r="M549" s="6" t="s">
        <f>=I549+J549+K549+L549</f>
      </c>
      <c r="N549" s="24"/>
      <c r="O549" s="22"/>
    </row>
    <row collapsed="false" customFormat="false" customHeight="false" hidden="false" ht="12.1" outlineLevel="0" r="550">
      <c r="A550" s="21" t="n">
        <v>45474.459525463</v>
      </c>
      <c r="B550" s="22" t="s">
        <v>891</v>
      </c>
      <c r="C550" s="22" t="s">
        <v>1019</v>
      </c>
      <c r="D550" s="22" t="s">
        <v>891</v>
      </c>
      <c r="E550" s="22" t="s">
        <v>891</v>
      </c>
      <c r="F550" s="22" t="s">
        <v>20</v>
      </c>
      <c r="G550" s="23" t="n">
        <v>1</v>
      </c>
      <c r="H550" s="24" t="n">
        <v>1</v>
      </c>
      <c r="I550" s="24" t="n">
        <v>65.82</v>
      </c>
      <c r="J550" s="24" t="n">
        <v>0</v>
      </c>
      <c r="K550" s="24" t="n">
        <v>0</v>
      </c>
      <c r="L550" s="24" t="n">
        <v>0</v>
      </c>
      <c r="M550" s="6" t="s">
        <f>=I550+J550+K550+L550</f>
      </c>
      <c r="N550" s="24"/>
      <c r="O550" s="22"/>
    </row>
    <row collapsed="false" customFormat="false" customHeight="false" hidden="false" ht="12.1" outlineLevel="0" r="551">
      <c r="A551" s="21" t="n">
        <v>45478.594293981</v>
      </c>
      <c r="B551" s="22" t="s">
        <v>901</v>
      </c>
      <c r="C551" s="22" t="s">
        <v>902</v>
      </c>
      <c r="D551" s="22" t="s">
        <v>901</v>
      </c>
      <c r="E551" s="22" t="s">
        <v>901</v>
      </c>
      <c r="F551" s="22" t="s">
        <v>20</v>
      </c>
      <c r="G551" s="23" t="n">
        <v>1</v>
      </c>
      <c r="H551" s="24" t="n">
        <v>1</v>
      </c>
      <c r="I551" s="24" t="n">
        <v>200</v>
      </c>
      <c r="J551" s="24" t="n">
        <v>0</v>
      </c>
      <c r="K551" s="24" t="n">
        <v>0</v>
      </c>
      <c r="L551" s="24" t="n">
        <v>0</v>
      </c>
      <c r="M551" s="6" t="s">
        <f>=I551+J551+K551+L551</f>
      </c>
      <c r="N551" s="24"/>
      <c r="O551" s="22"/>
    </row>
    <row collapsed="false" customFormat="false" customHeight="false" hidden="false" ht="12.1" outlineLevel="0" r="552">
      <c r="A552" s="21" t="n">
        <v>45478.595763889</v>
      </c>
      <c r="B552" s="22" t="s">
        <v>891</v>
      </c>
      <c r="C552" s="22" t="s">
        <v>900</v>
      </c>
      <c r="D552" s="22" t="s">
        <v>891</v>
      </c>
      <c r="E552" s="22" t="s">
        <v>891</v>
      </c>
      <c r="F552" s="22" t="s">
        <v>20</v>
      </c>
      <c r="G552" s="23" t="n">
        <v>1</v>
      </c>
      <c r="H552" s="24" t="n">
        <v>1</v>
      </c>
      <c r="I552" s="24" t="n">
        <v>13.96</v>
      </c>
      <c r="J552" s="24" t="n">
        <v>0</v>
      </c>
      <c r="K552" s="24" t="n">
        <v>0</v>
      </c>
      <c r="L552" s="24" t="n">
        <v>0</v>
      </c>
      <c r="M552" s="6" t="s">
        <f>=I552+J552+K552+L552</f>
      </c>
      <c r="N552" s="24"/>
      <c r="O552" s="22"/>
    </row>
    <row collapsed="false" customFormat="false" customHeight="false" hidden="false" ht="12.1" outlineLevel="0" r="553">
      <c r="A553" s="21" t="n">
        <v>45491.395532407</v>
      </c>
      <c r="B553" s="22" t="s">
        <v>891</v>
      </c>
      <c r="C553" s="22" t="s">
        <v>1022</v>
      </c>
      <c r="D553" s="22" t="s">
        <v>891</v>
      </c>
      <c r="E553" s="22" t="s">
        <v>891</v>
      </c>
      <c r="F553" s="22" t="s">
        <v>20</v>
      </c>
      <c r="G553" s="23" t="n">
        <v>1</v>
      </c>
      <c r="H553" s="24" t="n">
        <v>1</v>
      </c>
      <c r="I553" s="24" t="n">
        <v>44.88</v>
      </c>
      <c r="J553" s="24" t="n">
        <v>0</v>
      </c>
      <c r="K553" s="24" t="n">
        <v>0</v>
      </c>
      <c r="L553" s="24" t="n">
        <v>0</v>
      </c>
      <c r="M553" s="6" t="s">
        <f>=I553+J553+K553+L553</f>
      </c>
      <c r="N553" s="24"/>
      <c r="O553" s="22"/>
    </row>
    <row collapsed="false" customFormat="false" customHeight="false" hidden="false" ht="12.1" outlineLevel="0" r="554">
      <c r="A554" s="21" t="n">
        <v>45497.5009375</v>
      </c>
      <c r="B554" s="22" t="s">
        <v>891</v>
      </c>
      <c r="C554" s="22" t="s">
        <v>1023</v>
      </c>
      <c r="D554" s="22" t="s">
        <v>891</v>
      </c>
      <c r="E554" s="22" t="s">
        <v>891</v>
      </c>
      <c r="F554" s="22" t="s">
        <v>20</v>
      </c>
      <c r="G554" s="23" t="n">
        <v>1</v>
      </c>
      <c r="H554" s="24" t="n">
        <v>1</v>
      </c>
      <c r="I554" s="24" t="n">
        <v>34.28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1" t="n">
        <v>45497.502847222</v>
      </c>
      <c r="B555" s="22" t="s">
        <v>891</v>
      </c>
      <c r="C555" s="22" t="s">
        <v>1035</v>
      </c>
      <c r="D555" s="22" t="s">
        <v>891</v>
      </c>
      <c r="E555" s="22" t="s">
        <v>891</v>
      </c>
      <c r="F555" s="22" t="s">
        <v>20</v>
      </c>
      <c r="G555" s="23" t="n">
        <v>1</v>
      </c>
      <c r="H555" s="24" t="n">
        <v>1</v>
      </c>
      <c r="I555" s="24" t="n">
        <v>14.59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4"/>
      <c r="O555" s="22"/>
    </row>
    <row collapsed="false" customFormat="false" customHeight="false" hidden="false" ht="12.1" outlineLevel="0" r="556">
      <c r="A556" s="21" t="n">
        <v>45497.565636574</v>
      </c>
      <c r="B556" s="22" t="s">
        <v>891</v>
      </c>
      <c r="C556" s="22" t="s">
        <v>1056</v>
      </c>
      <c r="D556" s="22" t="s">
        <v>891</v>
      </c>
      <c r="E556" s="22" t="s">
        <v>891</v>
      </c>
      <c r="F556" s="22" t="s">
        <v>20</v>
      </c>
      <c r="G556" s="23" t="n">
        <v>1</v>
      </c>
      <c r="H556" s="24" t="n">
        <v>1</v>
      </c>
      <c r="I556" s="24" t="n">
        <v>112.7</v>
      </c>
      <c r="J556" s="24" t="n">
        <v>0</v>
      </c>
      <c r="K556" s="24" t="n">
        <v>0</v>
      </c>
      <c r="L556" s="24" t="n">
        <v>0</v>
      </c>
      <c r="M556" s="6" t="s">
        <f>=I556+J556+K556+L556</f>
      </c>
      <c r="N556" s="24"/>
      <c r="O556" s="22"/>
    </row>
    <row collapsed="false" customFormat="false" customHeight="false" hidden="false" ht="12.1" outlineLevel="0" r="557">
      <c r="A557" s="25" t="n">
        <v>45497.565636574</v>
      </c>
      <c r="B557" s="26" t="s">
        <v>917</v>
      </c>
      <c r="C557" s="26" t="s">
        <v>1057</v>
      </c>
      <c r="D557" s="26" t="s">
        <v>917</v>
      </c>
      <c r="E557" s="26" t="s">
        <v>917</v>
      </c>
      <c r="F557" s="26" t="s">
        <v>20</v>
      </c>
      <c r="G557" s="27" t="n">
        <v>1</v>
      </c>
      <c r="H557" s="28" t="n">
        <v>-15</v>
      </c>
      <c r="I557" s="28" t="n">
        <v>-15</v>
      </c>
      <c r="J557" s="28" t="n">
        <v>0</v>
      </c>
      <c r="K557" s="28" t="n">
        <v>0</v>
      </c>
      <c r="L557" s="28" t="n">
        <v>0</v>
      </c>
      <c r="M557" s="6" t="s">
        <f>=I557+J557+K557+L557</f>
      </c>
      <c r="N557" s="28"/>
      <c r="O557" s="26"/>
    </row>
    <row collapsed="false" customFormat="false" customHeight="false" hidden="false" ht="12.1" outlineLevel="0" r="558">
      <c r="A558" s="21" t="n">
        <v>45497.646493056</v>
      </c>
      <c r="B558" s="22" t="s">
        <v>891</v>
      </c>
      <c r="C558" s="22" t="s">
        <v>923</v>
      </c>
      <c r="D558" s="22" t="s">
        <v>891</v>
      </c>
      <c r="E558" s="22" t="s">
        <v>891</v>
      </c>
      <c r="F558" s="22" t="s">
        <v>20</v>
      </c>
      <c r="G558" s="23" t="n">
        <v>1</v>
      </c>
      <c r="H558" s="24" t="n">
        <v>1</v>
      </c>
      <c r="I558" s="24" t="n">
        <v>25.17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5" t="n">
        <v>45497.646493056</v>
      </c>
      <c r="B559" s="26" t="s">
        <v>917</v>
      </c>
      <c r="C559" s="26" t="s">
        <v>922</v>
      </c>
      <c r="D559" s="26" t="s">
        <v>917</v>
      </c>
      <c r="E559" s="26" t="s">
        <v>917</v>
      </c>
      <c r="F559" s="26" t="s">
        <v>20</v>
      </c>
      <c r="G559" s="27" t="n">
        <v>1</v>
      </c>
      <c r="H559" s="28" t="n">
        <v>-3</v>
      </c>
      <c r="I559" s="28" t="n">
        <v>-3</v>
      </c>
      <c r="J559" s="28" t="n">
        <v>0</v>
      </c>
      <c r="K559" s="28" t="n">
        <v>0</v>
      </c>
      <c r="L559" s="28" t="n">
        <v>0</v>
      </c>
      <c r="M559" s="6" t="s">
        <f>=I559+J559+K559+L559</f>
      </c>
      <c r="N559" s="28"/>
      <c r="O559" s="26"/>
    </row>
    <row collapsed="false" customFormat="false" customHeight="false" hidden="false" ht="12.1" outlineLevel="0" r="560">
      <c r="A560" s="21" t="n">
        <v>45497.693333333</v>
      </c>
      <c r="B560" s="22" t="s">
        <v>891</v>
      </c>
      <c r="C560" s="22" t="s">
        <v>1058</v>
      </c>
      <c r="D560" s="22" t="s">
        <v>891</v>
      </c>
      <c r="E560" s="22" t="s">
        <v>891</v>
      </c>
      <c r="F560" s="22" t="s">
        <v>20</v>
      </c>
      <c r="G560" s="23" t="n">
        <v>1</v>
      </c>
      <c r="H560" s="24" t="n">
        <v>1</v>
      </c>
      <c r="I560" s="24" t="n">
        <v>160.38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4"/>
      <c r="O560" s="22"/>
    </row>
    <row collapsed="false" customFormat="false" customHeight="false" hidden="false" ht="12.1" outlineLevel="0" r="561">
      <c r="A561" s="25" t="n">
        <v>45497.693333333</v>
      </c>
      <c r="B561" s="26" t="s">
        <v>917</v>
      </c>
      <c r="C561" s="26" t="s">
        <v>1059</v>
      </c>
      <c r="D561" s="26" t="s">
        <v>917</v>
      </c>
      <c r="E561" s="26" t="s">
        <v>917</v>
      </c>
      <c r="F561" s="26" t="s">
        <v>20</v>
      </c>
      <c r="G561" s="27" t="n">
        <v>1</v>
      </c>
      <c r="H561" s="28" t="n">
        <v>-21</v>
      </c>
      <c r="I561" s="28" t="n">
        <v>-21</v>
      </c>
      <c r="J561" s="28" t="n">
        <v>0</v>
      </c>
      <c r="K561" s="28" t="n">
        <v>0</v>
      </c>
      <c r="L561" s="28" t="n">
        <v>0</v>
      </c>
      <c r="M561" s="6" t="s">
        <f>=I561+J561+K561+L561</f>
      </c>
      <c r="N561" s="28"/>
      <c r="O561" s="26"/>
    </row>
    <row collapsed="false" customFormat="false" customHeight="false" hidden="false" ht="12.1" outlineLevel="0" r="562">
      <c r="A562" s="21" t="n">
        <v>45498.44587963</v>
      </c>
      <c r="B562" s="22" t="s">
        <v>891</v>
      </c>
      <c r="C562" s="22" t="s">
        <v>988</v>
      </c>
      <c r="D562" s="22" t="s">
        <v>891</v>
      </c>
      <c r="E562" s="22" t="s">
        <v>891</v>
      </c>
      <c r="F562" s="22" t="s">
        <v>20</v>
      </c>
      <c r="G562" s="23" t="n">
        <v>1</v>
      </c>
      <c r="H562" s="24" t="n">
        <v>1</v>
      </c>
      <c r="I562" s="24" t="n">
        <v>43.38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4"/>
      <c r="O562" s="22"/>
    </row>
    <row collapsed="false" customFormat="false" customHeight="false" hidden="false" ht="12.1" outlineLevel="0" r="563">
      <c r="A563" s="21" t="n">
        <v>45498.54212963</v>
      </c>
      <c r="B563" s="22" t="s">
        <v>891</v>
      </c>
      <c r="C563" s="22" t="s">
        <v>1008</v>
      </c>
      <c r="D563" s="22" t="s">
        <v>891</v>
      </c>
      <c r="E563" s="22" t="s">
        <v>891</v>
      </c>
      <c r="F563" s="22" t="s">
        <v>20</v>
      </c>
      <c r="G563" s="23" t="n">
        <v>1</v>
      </c>
      <c r="H563" s="24" t="n">
        <v>1</v>
      </c>
      <c r="I563" s="24" t="n">
        <v>43.42</v>
      </c>
      <c r="J563" s="24" t="n">
        <v>0</v>
      </c>
      <c r="K563" s="24" t="n">
        <v>0</v>
      </c>
      <c r="L563" s="24" t="n">
        <v>0</v>
      </c>
      <c r="M563" s="6" t="s">
        <f>=I563+J563+K563+L563</f>
      </c>
      <c r="N563" s="24"/>
      <c r="O563" s="22"/>
    </row>
    <row collapsed="false" customFormat="false" customHeight="false" hidden="false" ht="12.1" outlineLevel="0" r="564">
      <c r="A564" s="21" t="n">
        <v>45499.534444444</v>
      </c>
      <c r="B564" s="22" t="s">
        <v>891</v>
      </c>
      <c r="C564" s="22" t="s">
        <v>966</v>
      </c>
      <c r="D564" s="22" t="s">
        <v>891</v>
      </c>
      <c r="E564" s="22" t="s">
        <v>891</v>
      </c>
      <c r="F564" s="22" t="s">
        <v>20</v>
      </c>
      <c r="G564" s="23" t="n">
        <v>1</v>
      </c>
      <c r="H564" s="24" t="n">
        <v>1</v>
      </c>
      <c r="I564" s="24" t="n">
        <v>999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4"/>
      <c r="O564" s="22"/>
    </row>
    <row collapsed="false" customFormat="false" customHeight="false" hidden="false" ht="12.1" outlineLevel="0" r="565">
      <c r="A565" s="25" t="n">
        <v>45499.534444444</v>
      </c>
      <c r="B565" s="26" t="s">
        <v>917</v>
      </c>
      <c r="C565" s="26" t="s">
        <v>967</v>
      </c>
      <c r="D565" s="26" t="s">
        <v>917</v>
      </c>
      <c r="E565" s="26" t="s">
        <v>917</v>
      </c>
      <c r="F565" s="26" t="s">
        <v>20</v>
      </c>
      <c r="G565" s="27" t="n">
        <v>1</v>
      </c>
      <c r="H565" s="28" t="n">
        <v>-130</v>
      </c>
      <c r="I565" s="28" t="n">
        <v>-130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1" t="n">
        <v>45499.712615741</v>
      </c>
      <c r="B566" s="22" t="s">
        <v>891</v>
      </c>
      <c r="C566" s="22" t="s">
        <v>968</v>
      </c>
      <c r="D566" s="22" t="s">
        <v>891</v>
      </c>
      <c r="E566" s="22" t="s">
        <v>891</v>
      </c>
      <c r="F566" s="22" t="s">
        <v>20</v>
      </c>
      <c r="G566" s="23" t="n">
        <v>1</v>
      </c>
      <c r="H566" s="24" t="n">
        <v>1</v>
      </c>
      <c r="I566" s="24" t="n">
        <v>4329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4"/>
      <c r="O566" s="22"/>
    </row>
    <row collapsed="false" customFormat="false" customHeight="false" hidden="false" ht="12.1" outlineLevel="0" r="567">
      <c r="A567" s="25" t="n">
        <v>45499.712615741</v>
      </c>
      <c r="B567" s="26" t="s">
        <v>917</v>
      </c>
      <c r="C567" s="26" t="s">
        <v>969</v>
      </c>
      <c r="D567" s="26" t="s">
        <v>917</v>
      </c>
      <c r="E567" s="26" t="s">
        <v>917</v>
      </c>
      <c r="F567" s="26" t="s">
        <v>20</v>
      </c>
      <c r="G567" s="27" t="n">
        <v>1</v>
      </c>
      <c r="H567" s="28" t="n">
        <v>-561</v>
      </c>
      <c r="I567" s="28" t="n">
        <v>-561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1" t="n">
        <v>45502.475648148</v>
      </c>
      <c r="B568" s="22" t="s">
        <v>901</v>
      </c>
      <c r="C568" s="22" t="s">
        <v>1060</v>
      </c>
      <c r="D568" s="22" t="s">
        <v>901</v>
      </c>
      <c r="E568" s="22" t="s">
        <v>901</v>
      </c>
      <c r="F568" s="22" t="s">
        <v>20</v>
      </c>
      <c r="G568" s="23" t="n">
        <v>1</v>
      </c>
      <c r="H568" s="24" t="n">
        <v>1</v>
      </c>
      <c r="I568" s="24" t="n">
        <v>1000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2"/>
    </row>
    <row collapsed="false" customFormat="false" customHeight="false" hidden="false" ht="12.1" outlineLevel="0" r="569">
      <c r="A569" s="21" t="n">
        <v>45502.477777778</v>
      </c>
      <c r="B569" s="22" t="s">
        <v>891</v>
      </c>
      <c r="C569" s="22" t="s">
        <v>1024</v>
      </c>
      <c r="D569" s="22" t="s">
        <v>891</v>
      </c>
      <c r="E569" s="22" t="s">
        <v>891</v>
      </c>
      <c r="F569" s="22" t="s">
        <v>20</v>
      </c>
      <c r="G569" s="23" t="n">
        <v>1</v>
      </c>
      <c r="H569" s="24" t="n">
        <v>1</v>
      </c>
      <c r="I569" s="24" t="n">
        <v>47.12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2"/>
    </row>
    <row collapsed="false" customFormat="false" customHeight="false" hidden="false" ht="12.1" outlineLevel="0" r="570">
      <c r="A570" s="21" t="n">
        <v>45502.563148148</v>
      </c>
      <c r="B570" s="22" t="s">
        <v>891</v>
      </c>
      <c r="C570" s="22" t="s">
        <v>1002</v>
      </c>
      <c r="D570" s="22" t="s">
        <v>891</v>
      </c>
      <c r="E570" s="22" t="s">
        <v>891</v>
      </c>
      <c r="F570" s="22" t="s">
        <v>20</v>
      </c>
      <c r="G570" s="23" t="n">
        <v>1</v>
      </c>
      <c r="H570" s="24" t="n">
        <v>1</v>
      </c>
      <c r="I570" s="24" t="n">
        <v>29.48</v>
      </c>
      <c r="J570" s="24" t="n">
        <v>0</v>
      </c>
      <c r="K570" s="24" t="n">
        <v>0</v>
      </c>
      <c r="L570" s="24" t="n">
        <v>0</v>
      </c>
      <c r="M570" s="6" t="s">
        <f>=I570+J570+K570+L570</f>
      </c>
      <c r="N570" s="24"/>
      <c r="O570" s="22"/>
    </row>
    <row collapsed="false" customFormat="false" customHeight="false" hidden="false" ht="12.1" outlineLevel="0" r="571">
      <c r="A571" s="25" t="n">
        <v>45503.540138889</v>
      </c>
      <c r="B571" s="26" t="s">
        <v>917</v>
      </c>
      <c r="C571" s="26" t="s">
        <v>1061</v>
      </c>
      <c r="D571" s="26" t="s">
        <v>917</v>
      </c>
      <c r="E571" s="26" t="s">
        <v>917</v>
      </c>
      <c r="F571" s="26" t="s">
        <v>20</v>
      </c>
      <c r="G571" s="27" t="n">
        <v>1</v>
      </c>
      <c r="H571" s="28" t="n">
        <v>-43</v>
      </c>
      <c r="I571" s="28" t="n">
        <v>-43</v>
      </c>
      <c r="J571" s="28" t="n">
        <v>0</v>
      </c>
      <c r="K571" s="28" t="n">
        <v>0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1" t="n">
        <v>45503.540138889</v>
      </c>
      <c r="B572" s="22" t="s">
        <v>891</v>
      </c>
      <c r="C572" s="22" t="s">
        <v>1062</v>
      </c>
      <c r="D572" s="22" t="s">
        <v>891</v>
      </c>
      <c r="E572" s="22" t="s">
        <v>891</v>
      </c>
      <c r="F572" s="22" t="s">
        <v>20</v>
      </c>
      <c r="G572" s="23" t="n">
        <v>1</v>
      </c>
      <c r="H572" s="24" t="n">
        <v>1</v>
      </c>
      <c r="I572" s="24" t="n">
        <v>350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2"/>
    </row>
    <row collapsed="false" customFormat="false" customHeight="false" hidden="false" ht="12.1" outlineLevel="0" r="573">
      <c r="A573" s="21" t="n">
        <v>45503.669444444</v>
      </c>
      <c r="B573" s="22" t="s">
        <v>891</v>
      </c>
      <c r="C573" s="22" t="s">
        <v>1063</v>
      </c>
      <c r="D573" s="22" t="s">
        <v>891</v>
      </c>
      <c r="E573" s="22" t="s">
        <v>891</v>
      </c>
      <c r="F573" s="22" t="s">
        <v>20</v>
      </c>
      <c r="G573" s="23" t="n">
        <v>1</v>
      </c>
      <c r="H573" s="24" t="n">
        <v>1</v>
      </c>
      <c r="I573" s="24" t="n">
        <v>28.1</v>
      </c>
      <c r="J573" s="24" t="n">
        <v>0</v>
      </c>
      <c r="K573" s="24" t="n">
        <v>0</v>
      </c>
      <c r="L573" s="24" t="n">
        <v>0</v>
      </c>
      <c r="M573" s="6" t="s">
        <f>=I573+J573+K573+L573</f>
      </c>
      <c r="N573" s="24"/>
      <c r="O573" s="22"/>
    </row>
    <row collapsed="false" customFormat="false" customHeight="false" hidden="false" ht="12.1" outlineLevel="0" r="574">
      <c r="A574" s="21" t="n">
        <v>45504.406886574</v>
      </c>
      <c r="B574" s="22" t="s">
        <v>891</v>
      </c>
      <c r="C574" s="22" t="s">
        <v>945</v>
      </c>
      <c r="D574" s="22" t="s">
        <v>891</v>
      </c>
      <c r="E574" s="22" t="s">
        <v>891</v>
      </c>
      <c r="F574" s="22" t="s">
        <v>20</v>
      </c>
      <c r="G574" s="23" t="n">
        <v>1</v>
      </c>
      <c r="H574" s="24" t="n">
        <v>1</v>
      </c>
      <c r="I574" s="24" t="n">
        <v>28.22</v>
      </c>
      <c r="J574" s="24" t="n">
        <v>0</v>
      </c>
      <c r="K574" s="24" t="n">
        <v>0</v>
      </c>
      <c r="L574" s="24" t="n">
        <v>0</v>
      </c>
      <c r="M574" s="6" t="s">
        <f>=I574+J574+K574+L574</f>
      </c>
      <c r="N574" s="24"/>
      <c r="O574" s="22"/>
    </row>
    <row collapsed="false" customFormat="false" customHeight="false" hidden="false" ht="12.1" outlineLevel="0" r="575">
      <c r="A575" s="21" t="n">
        <v>45504.498206019</v>
      </c>
      <c r="B575" s="22" t="s">
        <v>891</v>
      </c>
      <c r="C575" s="22" t="s">
        <v>1064</v>
      </c>
      <c r="D575" s="22" t="s">
        <v>891</v>
      </c>
      <c r="E575" s="22" t="s">
        <v>891</v>
      </c>
      <c r="F575" s="22" t="s">
        <v>20</v>
      </c>
      <c r="G575" s="23" t="n">
        <v>1</v>
      </c>
      <c r="H575" s="24" t="n">
        <v>1</v>
      </c>
      <c r="I575" s="24" t="n">
        <v>29.17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4"/>
      <c r="O575" s="22"/>
    </row>
    <row collapsed="false" customFormat="false" customHeight="false" hidden="false" ht="12.1" outlineLevel="0" r="576">
      <c r="A576" s="21" t="n">
        <v>45505.512083333</v>
      </c>
      <c r="B576" s="22" t="s">
        <v>891</v>
      </c>
      <c r="C576" s="22" t="s">
        <v>946</v>
      </c>
      <c r="D576" s="22" t="s">
        <v>891</v>
      </c>
      <c r="E576" s="22" t="s">
        <v>891</v>
      </c>
      <c r="F576" s="22" t="s">
        <v>20</v>
      </c>
      <c r="G576" s="23" t="n">
        <v>1</v>
      </c>
      <c r="H576" s="24" t="n">
        <v>1</v>
      </c>
      <c r="I576" s="24" t="n">
        <v>72.6</v>
      </c>
      <c r="J576" s="24" t="n">
        <v>0</v>
      </c>
      <c r="K576" s="24" t="n">
        <v>0</v>
      </c>
      <c r="L576" s="24" t="n">
        <v>0</v>
      </c>
      <c r="M576" s="6" t="s">
        <f>=I576+J576+K576+L576</f>
      </c>
      <c r="N576" s="24"/>
      <c r="O576" s="22"/>
    </row>
    <row collapsed="false" customFormat="false" customHeight="false" hidden="false" ht="12.1" outlineLevel="0" r="577">
      <c r="A577" s="21" t="n">
        <v>45505.573541667</v>
      </c>
      <c r="B577" s="22" t="s">
        <v>891</v>
      </c>
      <c r="C577" s="22" t="s">
        <v>989</v>
      </c>
      <c r="D577" s="22" t="s">
        <v>891</v>
      </c>
      <c r="E577" s="22" t="s">
        <v>891</v>
      </c>
      <c r="F577" s="22" t="s">
        <v>20</v>
      </c>
      <c r="G577" s="23" t="n">
        <v>1</v>
      </c>
      <c r="H577" s="24" t="n">
        <v>1</v>
      </c>
      <c r="I577" s="24" t="n">
        <v>52</v>
      </c>
      <c r="J577" s="24" t="n">
        <v>0</v>
      </c>
      <c r="K577" s="24" t="n">
        <v>0</v>
      </c>
      <c r="L577" s="24" t="n">
        <v>0</v>
      </c>
      <c r="M577" s="6" t="s">
        <f>=I577+J577+K577+L577</f>
      </c>
      <c r="N577" s="24"/>
      <c r="O577" s="22"/>
    </row>
    <row collapsed="false" customFormat="false" customHeight="false" hidden="false" ht="12.1" outlineLevel="0" r="578">
      <c r="A578" s="21" t="n">
        <v>45505.596516204</v>
      </c>
      <c r="B578" s="22" t="s">
        <v>891</v>
      </c>
      <c r="C578" s="22" t="s">
        <v>909</v>
      </c>
      <c r="D578" s="22" t="s">
        <v>891</v>
      </c>
      <c r="E578" s="22" t="s">
        <v>891</v>
      </c>
      <c r="F578" s="22" t="s">
        <v>20</v>
      </c>
      <c r="G578" s="23" t="n">
        <v>1</v>
      </c>
      <c r="H578" s="24" t="n">
        <v>1</v>
      </c>
      <c r="I578" s="24" t="n">
        <v>912.6</v>
      </c>
      <c r="J578" s="24" t="n">
        <v>0</v>
      </c>
      <c r="K578" s="24" t="n">
        <v>0</v>
      </c>
      <c r="L578" s="24" t="n">
        <v>0</v>
      </c>
      <c r="M578" s="6" t="s">
        <f>=I578+J578+K578+L578</f>
      </c>
      <c r="N578" s="24"/>
      <c r="O578" s="22"/>
    </row>
    <row collapsed="false" customFormat="false" customHeight="false" hidden="false" ht="12.1" outlineLevel="0" r="579">
      <c r="A579" s="21" t="n">
        <v>45505.660856481</v>
      </c>
      <c r="B579" s="22" t="s">
        <v>891</v>
      </c>
      <c r="C579" s="22" t="s">
        <v>1065</v>
      </c>
      <c r="D579" s="22" t="s">
        <v>891</v>
      </c>
      <c r="E579" s="22" t="s">
        <v>891</v>
      </c>
      <c r="F579" s="22" t="s">
        <v>20</v>
      </c>
      <c r="G579" s="23" t="n">
        <v>1</v>
      </c>
      <c r="H579" s="24" t="n">
        <v>1</v>
      </c>
      <c r="I579" s="24" t="n">
        <v>34.41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4"/>
      <c r="O579" s="22"/>
    </row>
    <row collapsed="false" customFormat="false" customHeight="false" hidden="false" ht="12.1" outlineLevel="0" r="580">
      <c r="A580" s="21" t="n">
        <v>45505.670393519</v>
      </c>
      <c r="B580" s="22" t="s">
        <v>891</v>
      </c>
      <c r="C580" s="22" t="s">
        <v>1009</v>
      </c>
      <c r="D580" s="22" t="s">
        <v>891</v>
      </c>
      <c r="E580" s="22" t="s">
        <v>891</v>
      </c>
      <c r="F580" s="22" t="s">
        <v>20</v>
      </c>
      <c r="G580" s="23" t="n">
        <v>1</v>
      </c>
      <c r="H580" s="24" t="n">
        <v>1</v>
      </c>
      <c r="I580" s="24" t="n">
        <v>39.45</v>
      </c>
      <c r="J580" s="24" t="n">
        <v>0</v>
      </c>
      <c r="K580" s="24" t="n">
        <v>0</v>
      </c>
      <c r="L580" s="24" t="n">
        <v>0</v>
      </c>
      <c r="M580" s="6" t="s">
        <f>=I580+J580+K580+L580</f>
      </c>
      <c r="N580" s="24"/>
      <c r="O580" s="22"/>
    </row>
    <row collapsed="false" customFormat="false" customHeight="false" hidden="false" ht="12.1" outlineLevel="0" r="581">
      <c r="A581" s="21" t="n">
        <v>45506.359710648</v>
      </c>
      <c r="B581" s="22" t="s">
        <v>884</v>
      </c>
      <c r="C581" s="22" t="s">
        <v>336</v>
      </c>
      <c r="D581" s="22" t="s">
        <v>884</v>
      </c>
      <c r="E581" s="22" t="s">
        <v>884</v>
      </c>
      <c r="F581" s="22" t="s">
        <v>20</v>
      </c>
      <c r="G581" s="23" t="n">
        <v>1</v>
      </c>
      <c r="H581" s="24" t="n">
        <v>1</v>
      </c>
      <c r="I581" s="24" t="n">
        <v>11000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4"/>
      <c r="O581" s="22"/>
    </row>
    <row collapsed="false" customFormat="false" customHeight="false" hidden="false" ht="12.1" outlineLevel="0" r="582">
      <c r="A582" s="20" t="n">
        <v>45506.43224537</v>
      </c>
      <c r="B582" s="2" t="s">
        <v>37</v>
      </c>
      <c r="C582" s="2" t="s">
        <v>904</v>
      </c>
      <c r="D582" s="2" t="s">
        <v>757</v>
      </c>
      <c r="E582" s="2" t="s">
        <v>18</v>
      </c>
      <c r="F582" s="2" t="s">
        <v>20</v>
      </c>
      <c r="G582" s="7" t="n">
        <v>4</v>
      </c>
      <c r="H582" s="6" t="n">
        <v>751.2</v>
      </c>
      <c r="I582" s="6" t="n">
        <v>-3004.8</v>
      </c>
      <c r="J582" s="6" t="n">
        <v>0</v>
      </c>
      <c r="K582" s="6" t="n">
        <v>-9.01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45506.432546296</v>
      </c>
      <c r="B583" s="2" t="s">
        <v>46</v>
      </c>
      <c r="C583" s="2" t="s">
        <v>905</v>
      </c>
      <c r="D583" s="2" t="s">
        <v>757</v>
      </c>
      <c r="E583" s="2" t="s">
        <v>18</v>
      </c>
      <c r="F583" s="2" t="s">
        <v>20</v>
      </c>
      <c r="G583" s="7" t="n">
        <v>100</v>
      </c>
      <c r="H583" s="6" t="n">
        <v>3.791</v>
      </c>
      <c r="I583" s="6" t="n">
        <v>-379.1</v>
      </c>
      <c r="J583" s="6" t="n">
        <v>0</v>
      </c>
      <c r="K583" s="6" t="n">
        <v>-1.14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45506.432893519</v>
      </c>
      <c r="B584" s="2" t="s">
        <v>40</v>
      </c>
      <c r="C584" s="2" t="s">
        <v>950</v>
      </c>
      <c r="D584" s="2" t="s">
        <v>757</v>
      </c>
      <c r="E584" s="2" t="s">
        <v>18</v>
      </c>
      <c r="F584" s="2" t="s">
        <v>20</v>
      </c>
      <c r="G584" s="7" t="n">
        <v>10</v>
      </c>
      <c r="H584" s="6" t="n">
        <v>228.68</v>
      </c>
      <c r="I584" s="6" t="n">
        <v>-2286.8</v>
      </c>
      <c r="J584" s="6" t="n">
        <v>0</v>
      </c>
      <c r="K584" s="6" t="n">
        <v>-6.86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45506.433148148</v>
      </c>
      <c r="B585" s="2" t="s">
        <v>63</v>
      </c>
      <c r="C585" s="2" t="s">
        <v>962</v>
      </c>
      <c r="D585" s="2" t="s">
        <v>757</v>
      </c>
      <c r="E585" s="2" t="s">
        <v>18</v>
      </c>
      <c r="F585" s="2" t="s">
        <v>20</v>
      </c>
      <c r="G585" s="7" t="n">
        <v>10</v>
      </c>
      <c r="H585" s="6" t="n">
        <v>82.29</v>
      </c>
      <c r="I585" s="6" t="n">
        <v>-822.9</v>
      </c>
      <c r="J585" s="6" t="n">
        <v>0</v>
      </c>
      <c r="K585" s="6" t="n">
        <v>-2.47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45506.433587963</v>
      </c>
      <c r="B586" s="2" t="s">
        <v>88</v>
      </c>
      <c r="C586" s="2" t="s">
        <v>914</v>
      </c>
      <c r="D586" s="2" t="s">
        <v>757</v>
      </c>
      <c r="E586" s="2" t="s">
        <v>18</v>
      </c>
      <c r="F586" s="2" t="s">
        <v>20</v>
      </c>
      <c r="G586" s="7" t="n">
        <v>1000</v>
      </c>
      <c r="H586" s="6" t="n">
        <v>0.5971</v>
      </c>
      <c r="I586" s="6" t="n">
        <v>-597.1</v>
      </c>
      <c r="J586" s="6" t="n">
        <v>0</v>
      </c>
      <c r="K586" s="6" t="n">
        <v>-1.79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45506.434155093</v>
      </c>
      <c r="B587" s="2" t="s">
        <v>31</v>
      </c>
      <c r="C587" s="2" t="s">
        <v>906</v>
      </c>
      <c r="D587" s="2" t="s">
        <v>757</v>
      </c>
      <c r="E587" s="2" t="s">
        <v>18</v>
      </c>
      <c r="F587" s="2" t="s">
        <v>20</v>
      </c>
      <c r="G587" s="7" t="n">
        <v>10</v>
      </c>
      <c r="H587" s="6" t="n">
        <v>131.96</v>
      </c>
      <c r="I587" s="6" t="n">
        <v>-1319.6</v>
      </c>
      <c r="J587" s="6" t="n">
        <v>0</v>
      </c>
      <c r="K587" s="6" t="n">
        <v>-3.96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45506.436006944</v>
      </c>
      <c r="B588" s="2" t="s">
        <v>99</v>
      </c>
      <c r="C588" s="2" t="s">
        <v>897</v>
      </c>
      <c r="D588" s="2" t="s">
        <v>757</v>
      </c>
      <c r="E588" s="2" t="s">
        <v>96</v>
      </c>
      <c r="F588" s="2" t="s">
        <v>20</v>
      </c>
      <c r="G588" s="7" t="n">
        <v>1</v>
      </c>
      <c r="H588" s="6" t="n">
        <v>105.45</v>
      </c>
      <c r="I588" s="6" t="n">
        <v>-1054.5</v>
      </c>
      <c r="J588" s="6" t="n">
        <v>-22.29</v>
      </c>
      <c r="K588" s="6" t="n">
        <v>-3.16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45506.436446759</v>
      </c>
      <c r="B589" s="2" t="s">
        <v>159</v>
      </c>
      <c r="C589" s="2" t="s">
        <v>1028</v>
      </c>
      <c r="D589" s="2" t="s">
        <v>757</v>
      </c>
      <c r="E589" s="2" t="s">
        <v>96</v>
      </c>
      <c r="F589" s="2" t="s">
        <v>20</v>
      </c>
      <c r="G589" s="7" t="n">
        <v>1</v>
      </c>
      <c r="H589" s="6" t="n">
        <v>77.548</v>
      </c>
      <c r="I589" s="6" t="n">
        <v>-775.48</v>
      </c>
      <c r="J589" s="6" t="n">
        <v>-37.48</v>
      </c>
      <c r="K589" s="6" t="n">
        <v>-2.33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45506.436782407</v>
      </c>
      <c r="B590" s="2" t="s">
        <v>162</v>
      </c>
      <c r="C590" s="2" t="s">
        <v>1045</v>
      </c>
      <c r="D590" s="2" t="s">
        <v>757</v>
      </c>
      <c r="E590" s="2" t="s">
        <v>96</v>
      </c>
      <c r="F590" s="2" t="s">
        <v>20</v>
      </c>
      <c r="G590" s="7" t="n">
        <v>1</v>
      </c>
      <c r="H590" s="6" t="n">
        <v>64.399</v>
      </c>
      <c r="I590" s="6" t="n">
        <v>-643.99</v>
      </c>
      <c r="J590" s="6" t="n">
        <v>-0.95000000000005</v>
      </c>
      <c r="K590" s="6" t="n">
        <v>-1.93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0" t="n">
        <v>45506.437048611</v>
      </c>
      <c r="B591" s="2" t="s">
        <v>105</v>
      </c>
      <c r="C591" s="2" t="s">
        <v>895</v>
      </c>
      <c r="D591" s="2" t="s">
        <v>757</v>
      </c>
      <c r="E591" s="2" t="s">
        <v>96</v>
      </c>
      <c r="F591" s="2" t="s">
        <v>20</v>
      </c>
      <c r="G591" s="7" t="n">
        <v>1</v>
      </c>
      <c r="H591" s="6" t="n">
        <v>105.72</v>
      </c>
      <c r="I591" s="6" t="n">
        <v>-1057.2</v>
      </c>
      <c r="J591" s="6" t="n">
        <v>-38.28</v>
      </c>
      <c r="K591" s="6" t="n">
        <v>-3.17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45506.437418981</v>
      </c>
      <c r="B592" s="2" t="s">
        <v>114</v>
      </c>
      <c r="C592" s="2" t="s">
        <v>964</v>
      </c>
      <c r="D592" s="2" t="s">
        <v>757</v>
      </c>
      <c r="E592" s="2" t="s">
        <v>96</v>
      </c>
      <c r="F592" s="2" t="s">
        <v>20</v>
      </c>
      <c r="G592" s="7" t="n">
        <v>1</v>
      </c>
      <c r="H592" s="6" t="n">
        <v>71.099</v>
      </c>
      <c r="I592" s="6" t="n">
        <v>-710.99</v>
      </c>
      <c r="J592" s="6" t="n">
        <v>-23.06</v>
      </c>
      <c r="K592" s="6" t="n">
        <v>-2.13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45506.437835648</v>
      </c>
      <c r="B593" s="2" t="s">
        <v>126</v>
      </c>
      <c r="C593" s="2" t="s">
        <v>1027</v>
      </c>
      <c r="D593" s="2" t="s">
        <v>757</v>
      </c>
      <c r="E593" s="2" t="s">
        <v>96</v>
      </c>
      <c r="F593" s="2" t="s">
        <v>20</v>
      </c>
      <c r="G593" s="7" t="n">
        <v>1</v>
      </c>
      <c r="H593" s="6" t="n">
        <v>71.349</v>
      </c>
      <c r="I593" s="6" t="n">
        <v>-713.49</v>
      </c>
      <c r="J593" s="6" t="n">
        <v>-30.5</v>
      </c>
      <c r="K593" s="6" t="n">
        <v>-2.14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45506.438206019</v>
      </c>
      <c r="B594" s="2" t="s">
        <v>117</v>
      </c>
      <c r="C594" s="2" t="s">
        <v>889</v>
      </c>
      <c r="D594" s="2" t="s">
        <v>757</v>
      </c>
      <c r="E594" s="2" t="s">
        <v>96</v>
      </c>
      <c r="F594" s="2" t="s">
        <v>20</v>
      </c>
      <c r="G594" s="7" t="n">
        <v>1</v>
      </c>
      <c r="H594" s="6" t="n">
        <v>62.249</v>
      </c>
      <c r="I594" s="6" t="n">
        <v>-622.49</v>
      </c>
      <c r="J594" s="6" t="n">
        <v>-22.31</v>
      </c>
      <c r="K594" s="6" t="n">
        <v>-1.87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45506.438425926</v>
      </c>
      <c r="B595" s="2" t="s">
        <v>108</v>
      </c>
      <c r="C595" s="2" t="s">
        <v>938</v>
      </c>
      <c r="D595" s="2" t="s">
        <v>757</v>
      </c>
      <c r="E595" s="2" t="s">
        <v>96</v>
      </c>
      <c r="F595" s="2" t="s">
        <v>20</v>
      </c>
      <c r="G595" s="7" t="n">
        <v>1</v>
      </c>
      <c r="H595" s="6" t="n">
        <v>55.3</v>
      </c>
      <c r="I595" s="6" t="n">
        <v>-553</v>
      </c>
      <c r="J595" s="6" t="n">
        <v>-33.17</v>
      </c>
      <c r="K595" s="6" t="n">
        <v>-1.66</v>
      </c>
      <c r="L595" s="6" t="n">
        <v>0</v>
      </c>
      <c r="M595" s="6" t="s">
        <f>=I595+J595+K595+L595</f>
      </c>
      <c r="N595" s="6"/>
      <c r="O595" s="2"/>
    </row>
    <row collapsed="false" customFormat="false" customHeight="false" hidden="false" ht="12.1" outlineLevel="0" r="596">
      <c r="A596" s="20" t="n">
        <v>45506.438657407</v>
      </c>
      <c r="B596" s="2" t="s">
        <v>120</v>
      </c>
      <c r="C596" s="2" t="s">
        <v>995</v>
      </c>
      <c r="D596" s="2" t="s">
        <v>757</v>
      </c>
      <c r="E596" s="2" t="s">
        <v>96</v>
      </c>
      <c r="F596" s="2" t="s">
        <v>20</v>
      </c>
      <c r="G596" s="7" t="n">
        <v>1</v>
      </c>
      <c r="H596" s="6" t="n">
        <v>69.099</v>
      </c>
      <c r="I596" s="6" t="n">
        <v>-690.99</v>
      </c>
      <c r="J596" s="6" t="n">
        <v>-16.38</v>
      </c>
      <c r="K596" s="6" t="n">
        <v>-2.07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45506.438888889</v>
      </c>
      <c r="B597" s="2" t="s">
        <v>123</v>
      </c>
      <c r="C597" s="2" t="s">
        <v>1020</v>
      </c>
      <c r="D597" s="2" t="s">
        <v>757</v>
      </c>
      <c r="E597" s="2" t="s">
        <v>96</v>
      </c>
      <c r="F597" s="2" t="s">
        <v>20</v>
      </c>
      <c r="G597" s="7" t="n">
        <v>1</v>
      </c>
      <c r="H597" s="6" t="n">
        <v>73.8</v>
      </c>
      <c r="I597" s="6" t="n">
        <v>-738</v>
      </c>
      <c r="J597" s="6" t="n">
        <v>-17.7</v>
      </c>
      <c r="K597" s="6" t="n">
        <v>-2.21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45506.439189815</v>
      </c>
      <c r="B598" s="2" t="s">
        <v>141</v>
      </c>
      <c r="C598" s="2" t="s">
        <v>936</v>
      </c>
      <c r="D598" s="2" t="s">
        <v>757</v>
      </c>
      <c r="E598" s="2" t="s">
        <v>96</v>
      </c>
      <c r="F598" s="2" t="s">
        <v>20</v>
      </c>
      <c r="G598" s="7" t="n">
        <v>1</v>
      </c>
      <c r="H598" s="6" t="n">
        <v>104.395</v>
      </c>
      <c r="I598" s="6" t="n">
        <v>-1043.95</v>
      </c>
      <c r="J598" s="6" t="n">
        <v>-52.86</v>
      </c>
      <c r="K598" s="6" t="n">
        <v>-3.13</v>
      </c>
      <c r="L598" s="6" t="n">
        <v>0</v>
      </c>
      <c r="M598" s="6" t="s">
        <f>=I598+J598+K598+L598</f>
      </c>
      <c r="N598" s="6"/>
      <c r="O598" s="2"/>
    </row>
    <row collapsed="false" customFormat="false" customHeight="false" hidden="false" ht="12.1" outlineLevel="0" r="599">
      <c r="A599" s="20" t="n">
        <v>45506.439444444</v>
      </c>
      <c r="B599" s="2" t="s">
        <v>138</v>
      </c>
      <c r="C599" s="2" t="s">
        <v>1021</v>
      </c>
      <c r="D599" s="2" t="s">
        <v>757</v>
      </c>
      <c r="E599" s="2" t="s">
        <v>96</v>
      </c>
      <c r="F599" s="2" t="s">
        <v>20</v>
      </c>
      <c r="G599" s="7" t="n">
        <v>1</v>
      </c>
      <c r="H599" s="6" t="n">
        <v>80.998</v>
      </c>
      <c r="I599" s="6" t="n">
        <v>-809.98</v>
      </c>
      <c r="J599" s="6" t="n">
        <v>-40.38</v>
      </c>
      <c r="K599" s="6" t="n">
        <v>-2.43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0" t="n">
        <v>45506.439641204</v>
      </c>
      <c r="B600" s="2" t="s">
        <v>111</v>
      </c>
      <c r="C600" s="2" t="s">
        <v>928</v>
      </c>
      <c r="D600" s="2" t="s">
        <v>757</v>
      </c>
      <c r="E600" s="2" t="s">
        <v>96</v>
      </c>
      <c r="F600" s="2" t="s">
        <v>20</v>
      </c>
      <c r="G600" s="7" t="n">
        <v>1</v>
      </c>
      <c r="H600" s="6" t="n">
        <v>57.244</v>
      </c>
      <c r="I600" s="6" t="n">
        <v>-572.44</v>
      </c>
      <c r="J600" s="6" t="n">
        <v>-26.16</v>
      </c>
      <c r="K600" s="6" t="n">
        <v>-1.72</v>
      </c>
      <c r="L600" s="6" t="n">
        <v>0</v>
      </c>
      <c r="M600" s="6" t="s">
        <f>=I600+J600+K600+L600</f>
      </c>
      <c r="N600" s="6"/>
      <c r="O600" s="2"/>
    </row>
    <row collapsed="false" customFormat="false" customHeight="false" hidden="false" ht="12.1" outlineLevel="0" r="601">
      <c r="A601" s="20" t="n">
        <v>45506.439849537</v>
      </c>
      <c r="B601" s="2" t="s">
        <v>132</v>
      </c>
      <c r="C601" s="2" t="s">
        <v>927</v>
      </c>
      <c r="D601" s="2" t="s">
        <v>757</v>
      </c>
      <c r="E601" s="2" t="s">
        <v>96</v>
      </c>
      <c r="F601" s="2" t="s">
        <v>20</v>
      </c>
      <c r="G601" s="7" t="n">
        <v>1</v>
      </c>
      <c r="H601" s="6" t="n">
        <v>65.921</v>
      </c>
      <c r="I601" s="6" t="n">
        <v>-659.21</v>
      </c>
      <c r="J601" s="6" t="n">
        <v>-26.16</v>
      </c>
      <c r="K601" s="6" t="n">
        <v>-1.98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5" t="n">
        <v>45506.579618056</v>
      </c>
      <c r="B602" s="26" t="s">
        <v>917</v>
      </c>
      <c r="C602" s="26" t="s">
        <v>994</v>
      </c>
      <c r="D602" s="26" t="s">
        <v>917</v>
      </c>
      <c r="E602" s="26" t="s">
        <v>917</v>
      </c>
      <c r="F602" s="26" t="s">
        <v>20</v>
      </c>
      <c r="G602" s="27" t="n">
        <v>1</v>
      </c>
      <c r="H602" s="28" t="n">
        <v>-159</v>
      </c>
      <c r="I602" s="28" t="n">
        <v>-159</v>
      </c>
      <c r="J602" s="28" t="n">
        <v>0</v>
      </c>
      <c r="K602" s="28" t="n">
        <v>0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1" t="n">
        <v>45506.579618056</v>
      </c>
      <c r="B603" s="22" t="s">
        <v>891</v>
      </c>
      <c r="C603" s="22" t="s">
        <v>993</v>
      </c>
      <c r="D603" s="22" t="s">
        <v>891</v>
      </c>
      <c r="E603" s="22" t="s">
        <v>891</v>
      </c>
      <c r="F603" s="22" t="s">
        <v>20</v>
      </c>
      <c r="G603" s="23" t="n">
        <v>1</v>
      </c>
      <c r="H603" s="24" t="n">
        <v>1</v>
      </c>
      <c r="I603" s="24" t="n">
        <v>1229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4"/>
      <c r="O603" s="22"/>
    </row>
    <row collapsed="false" customFormat="false" customHeight="false" hidden="false" ht="12.1" outlineLevel="0" r="604">
      <c r="A604" s="21" t="n">
        <v>45506.590127315</v>
      </c>
      <c r="B604" s="22" t="s">
        <v>891</v>
      </c>
      <c r="C604" s="22" t="s">
        <v>991</v>
      </c>
      <c r="D604" s="22" t="s">
        <v>891</v>
      </c>
      <c r="E604" s="22" t="s">
        <v>891</v>
      </c>
      <c r="F604" s="22" t="s">
        <v>20</v>
      </c>
      <c r="G604" s="23" t="n">
        <v>1</v>
      </c>
      <c r="H604" s="24" t="n">
        <v>1</v>
      </c>
      <c r="I604" s="24" t="n">
        <v>85</v>
      </c>
      <c r="J604" s="24" t="n">
        <v>0</v>
      </c>
      <c r="K604" s="24" t="n">
        <v>0</v>
      </c>
      <c r="L604" s="24" t="n">
        <v>0</v>
      </c>
      <c r="M604" s="6" t="s">
        <f>=I604+J604+K604+L604</f>
      </c>
      <c r="N604" s="24"/>
      <c r="O604" s="22"/>
    </row>
    <row collapsed="false" customFormat="false" customHeight="false" hidden="false" ht="12.1" outlineLevel="0" r="605">
      <c r="A605" s="25" t="n">
        <v>45506.590127315</v>
      </c>
      <c r="B605" s="26" t="s">
        <v>917</v>
      </c>
      <c r="C605" s="26" t="s">
        <v>992</v>
      </c>
      <c r="D605" s="26" t="s">
        <v>917</v>
      </c>
      <c r="E605" s="26" t="s">
        <v>917</v>
      </c>
      <c r="F605" s="26" t="s">
        <v>20</v>
      </c>
      <c r="G605" s="27" t="n">
        <v>1</v>
      </c>
      <c r="H605" s="28" t="n">
        <v>-11</v>
      </c>
      <c r="I605" s="28" t="n">
        <v>-11</v>
      </c>
      <c r="J605" s="28" t="n">
        <v>0</v>
      </c>
      <c r="K605" s="28" t="n">
        <v>0</v>
      </c>
      <c r="L605" s="28" t="n">
        <v>0</v>
      </c>
      <c r="M605" s="6" t="s">
        <f>=I605+J605+K605+L605</f>
      </c>
      <c r="N605" s="28"/>
      <c r="O605" s="26"/>
    </row>
    <row collapsed="false" customFormat="false" customHeight="false" hidden="false" ht="12.1" outlineLevel="0" r="606">
      <c r="A606" s="21" t="n">
        <v>45510.462650463</v>
      </c>
      <c r="B606" s="22" t="s">
        <v>891</v>
      </c>
      <c r="C606" s="22" t="s">
        <v>947</v>
      </c>
      <c r="D606" s="22" t="s">
        <v>891</v>
      </c>
      <c r="E606" s="22" t="s">
        <v>891</v>
      </c>
      <c r="F606" s="22" t="s">
        <v>20</v>
      </c>
      <c r="G606" s="23" t="n">
        <v>1</v>
      </c>
      <c r="H606" s="24" t="n">
        <v>1</v>
      </c>
      <c r="I606" s="24" t="n">
        <v>53.1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1" t="n">
        <v>45512.488055556</v>
      </c>
      <c r="B607" s="22" t="s">
        <v>891</v>
      </c>
      <c r="C607" s="22" t="s">
        <v>1066</v>
      </c>
      <c r="D607" s="22" t="s">
        <v>891</v>
      </c>
      <c r="E607" s="22" t="s">
        <v>891</v>
      </c>
      <c r="F607" s="22" t="s">
        <v>20</v>
      </c>
      <c r="G607" s="23" t="n">
        <v>1</v>
      </c>
      <c r="H607" s="24" t="n">
        <v>1</v>
      </c>
      <c r="I607" s="24" t="n">
        <v>37.64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4"/>
      <c r="O607" s="22"/>
    </row>
    <row collapsed="false" customFormat="false" customHeight="false" hidden="false" ht="12.1" outlineLevel="0" r="608">
      <c r="A608" s="21" t="n">
        <v>45519.523773148</v>
      </c>
      <c r="B608" s="22" t="s">
        <v>891</v>
      </c>
      <c r="C608" s="22" t="s">
        <v>948</v>
      </c>
      <c r="D608" s="22" t="s">
        <v>891</v>
      </c>
      <c r="E608" s="22" t="s">
        <v>891</v>
      </c>
      <c r="F608" s="22" t="s">
        <v>20</v>
      </c>
      <c r="G608" s="23" t="n">
        <v>1</v>
      </c>
      <c r="H608" s="24" t="n">
        <v>1</v>
      </c>
      <c r="I608" s="24" t="n">
        <v>628.2</v>
      </c>
      <c r="J608" s="24" t="n">
        <v>0</v>
      </c>
      <c r="K608" s="24" t="n">
        <v>0</v>
      </c>
      <c r="L608" s="24" t="n">
        <v>0</v>
      </c>
      <c r="M608" s="6" t="s">
        <f>=I608+J608+K608+L608</f>
      </c>
      <c r="N608" s="24"/>
      <c r="O608" s="22"/>
    </row>
    <row collapsed="false" customFormat="false" customHeight="false" hidden="false" ht="12.1" outlineLevel="0" r="609">
      <c r="A609" s="21" t="n">
        <v>45519.689525463</v>
      </c>
      <c r="B609" s="22" t="s">
        <v>891</v>
      </c>
      <c r="C609" s="22" t="s">
        <v>1042</v>
      </c>
      <c r="D609" s="22" t="s">
        <v>891</v>
      </c>
      <c r="E609" s="22" t="s">
        <v>891</v>
      </c>
      <c r="F609" s="22" t="s">
        <v>20</v>
      </c>
      <c r="G609" s="23" t="n">
        <v>1</v>
      </c>
      <c r="H609" s="24" t="n">
        <v>1</v>
      </c>
      <c r="I609" s="24" t="n">
        <v>4.67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4"/>
      <c r="O609" s="22"/>
    </row>
    <row collapsed="false" customFormat="false" customHeight="false" hidden="false" ht="12.1" outlineLevel="0" r="610">
      <c r="A610" s="21" t="n">
        <v>45523.477164352</v>
      </c>
      <c r="B610" s="22" t="s">
        <v>891</v>
      </c>
      <c r="C610" s="22" t="s">
        <v>1001</v>
      </c>
      <c r="D610" s="22" t="s">
        <v>891</v>
      </c>
      <c r="E610" s="22" t="s">
        <v>891</v>
      </c>
      <c r="F610" s="22" t="s">
        <v>20</v>
      </c>
      <c r="G610" s="23" t="n">
        <v>1</v>
      </c>
      <c r="H610" s="24" t="n">
        <v>1</v>
      </c>
      <c r="I610" s="24" t="n">
        <v>51.61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4"/>
      <c r="O610" s="22"/>
    </row>
    <row collapsed="false" customFormat="false" customHeight="false" hidden="false" ht="12.1" outlineLevel="0" r="611">
      <c r="A611" s="21" t="n">
        <v>45524.365173611</v>
      </c>
      <c r="B611" s="22" t="s">
        <v>891</v>
      </c>
      <c r="C611" s="22" t="s">
        <v>965</v>
      </c>
      <c r="D611" s="22" t="s">
        <v>891</v>
      </c>
      <c r="E611" s="22" t="s">
        <v>891</v>
      </c>
      <c r="F611" s="22" t="s">
        <v>20</v>
      </c>
      <c r="G611" s="23" t="n">
        <v>1</v>
      </c>
      <c r="H611" s="24" t="n">
        <v>1</v>
      </c>
      <c r="I611" s="24" t="n">
        <v>55.1</v>
      </c>
      <c r="J611" s="24" t="n">
        <v>0</v>
      </c>
      <c r="K611" s="24" t="n">
        <v>0</v>
      </c>
      <c r="L611" s="24" t="n">
        <v>0</v>
      </c>
      <c r="M611" s="6" t="s">
        <f>=I611+J611+K611+L611</f>
      </c>
      <c r="N611" s="24"/>
      <c r="O611" s="22"/>
    </row>
    <row collapsed="false" customFormat="false" customHeight="false" hidden="false" ht="12.1" outlineLevel="0" r="612">
      <c r="A612" s="21" t="n">
        <v>45524.370798611</v>
      </c>
      <c r="B612" s="22" t="s">
        <v>901</v>
      </c>
      <c r="C612" s="22" t="s">
        <v>1043</v>
      </c>
      <c r="D612" s="22" t="s">
        <v>901</v>
      </c>
      <c r="E612" s="22" t="s">
        <v>901</v>
      </c>
      <c r="F612" s="22" t="s">
        <v>20</v>
      </c>
      <c r="G612" s="23" t="n">
        <v>1</v>
      </c>
      <c r="H612" s="24" t="n">
        <v>1</v>
      </c>
      <c r="I612" s="24" t="n">
        <v>400</v>
      </c>
      <c r="J612" s="24" t="n">
        <v>0</v>
      </c>
      <c r="K612" s="24" t="n">
        <v>0</v>
      </c>
      <c r="L612" s="24" t="n">
        <v>0</v>
      </c>
      <c r="M612" s="6" t="s">
        <f>=I612+J612+K612+L612</f>
      </c>
      <c r="N612" s="24"/>
      <c r="O612" s="22"/>
    </row>
    <row collapsed="false" customFormat="false" customHeight="false" hidden="false" ht="12.1" outlineLevel="0" r="613">
      <c r="A613" s="21" t="n">
        <v>45526.58587963</v>
      </c>
      <c r="B613" s="22" t="s">
        <v>901</v>
      </c>
      <c r="C613" s="22" t="s">
        <v>1067</v>
      </c>
      <c r="D613" s="22" t="s">
        <v>901</v>
      </c>
      <c r="E613" s="22" t="s">
        <v>901</v>
      </c>
      <c r="F613" s="22" t="s">
        <v>20</v>
      </c>
      <c r="G613" s="23" t="n">
        <v>1</v>
      </c>
      <c r="H613" s="24" t="n">
        <v>1</v>
      </c>
      <c r="I613" s="24" t="n">
        <v>250</v>
      </c>
      <c r="J613" s="24" t="n">
        <v>0</v>
      </c>
      <c r="K613" s="24" t="n">
        <v>0</v>
      </c>
      <c r="L613" s="24" t="n">
        <v>0</v>
      </c>
      <c r="M613" s="6" t="s">
        <f>=I613+J613+K613+L613</f>
      </c>
      <c r="N613" s="24"/>
      <c r="O613" s="22"/>
    </row>
    <row collapsed="false" customFormat="false" customHeight="false" hidden="false" ht="12.1" outlineLevel="0" r="614">
      <c r="A614" s="21" t="n">
        <v>45526.586539352</v>
      </c>
      <c r="B614" s="22" t="s">
        <v>891</v>
      </c>
      <c r="C614" s="22" t="s">
        <v>892</v>
      </c>
      <c r="D614" s="22" t="s">
        <v>891</v>
      </c>
      <c r="E614" s="22" t="s">
        <v>891</v>
      </c>
      <c r="F614" s="22" t="s">
        <v>20</v>
      </c>
      <c r="G614" s="23" t="n">
        <v>1</v>
      </c>
      <c r="H614" s="24" t="n">
        <v>1</v>
      </c>
      <c r="I614" s="24" t="n">
        <v>5.36</v>
      </c>
      <c r="J614" s="24" t="n">
        <v>0</v>
      </c>
      <c r="K614" s="24" t="n">
        <v>0</v>
      </c>
      <c r="L614" s="24" t="n">
        <v>0</v>
      </c>
      <c r="M614" s="6" t="s">
        <f>=I614+J614+K614+L614</f>
      </c>
      <c r="N614" s="24"/>
      <c r="O614" s="22"/>
    </row>
    <row collapsed="false" customFormat="false" customHeight="false" hidden="false" ht="12.1" outlineLevel="0" r="615">
      <c r="A615" s="21" t="n">
        <v>45527.652071759</v>
      </c>
      <c r="B615" s="22" t="s">
        <v>891</v>
      </c>
      <c r="C615" s="22" t="s">
        <v>970</v>
      </c>
      <c r="D615" s="22" t="s">
        <v>891</v>
      </c>
      <c r="E615" s="22" t="s">
        <v>891</v>
      </c>
      <c r="F615" s="22" t="s">
        <v>20</v>
      </c>
      <c r="G615" s="23" t="n">
        <v>1</v>
      </c>
      <c r="H615" s="24" t="n">
        <v>1</v>
      </c>
      <c r="I615" s="24" t="n">
        <v>8.66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4"/>
      <c r="O615" s="22"/>
    </row>
    <row collapsed="false" customFormat="false" customHeight="false" hidden="false" ht="12.1" outlineLevel="0" r="616">
      <c r="A616" s="21" t="n">
        <v>45530.535046296</v>
      </c>
      <c r="B616" s="22" t="s">
        <v>891</v>
      </c>
      <c r="C616" s="22" t="s">
        <v>1035</v>
      </c>
      <c r="D616" s="22" t="s">
        <v>891</v>
      </c>
      <c r="E616" s="22" t="s">
        <v>891</v>
      </c>
      <c r="F616" s="22" t="s">
        <v>20</v>
      </c>
      <c r="G616" s="23" t="n">
        <v>1</v>
      </c>
      <c r="H616" s="24" t="n">
        <v>1</v>
      </c>
      <c r="I616" s="24" t="n">
        <v>14.54</v>
      </c>
      <c r="J616" s="24" t="n">
        <v>0</v>
      </c>
      <c r="K616" s="24" t="n">
        <v>0</v>
      </c>
      <c r="L616" s="24" t="n">
        <v>0</v>
      </c>
      <c r="M616" s="6" t="s">
        <f>=I616+J616+K616+L616</f>
      </c>
      <c r="N616" s="24"/>
      <c r="O616" s="22"/>
    </row>
    <row collapsed="false" customFormat="false" customHeight="false" hidden="false" ht="12.1" outlineLevel="0" r="617">
      <c r="A617" s="21" t="n">
        <v>45531.584733796</v>
      </c>
      <c r="B617" s="22" t="s">
        <v>891</v>
      </c>
      <c r="C617" s="22" t="s">
        <v>1002</v>
      </c>
      <c r="D617" s="22" t="s">
        <v>891</v>
      </c>
      <c r="E617" s="22" t="s">
        <v>891</v>
      </c>
      <c r="F617" s="22" t="s">
        <v>20</v>
      </c>
      <c r="G617" s="23" t="n">
        <v>1</v>
      </c>
      <c r="H617" s="24" t="n">
        <v>1</v>
      </c>
      <c r="I617" s="24" t="n">
        <v>29.5</v>
      </c>
      <c r="J617" s="24" t="n">
        <v>0</v>
      </c>
      <c r="K617" s="24" t="n">
        <v>0</v>
      </c>
      <c r="L617" s="24" t="n">
        <v>0</v>
      </c>
      <c r="M617" s="6" t="s">
        <f>=I617+J617+K617+L617</f>
      </c>
      <c r="N617" s="24"/>
      <c r="O617" s="22"/>
    </row>
    <row collapsed="false" customFormat="false" customHeight="false" hidden="false" ht="12.1" outlineLevel="0" r="618">
      <c r="A618" s="21" t="n">
        <v>45533.647141204</v>
      </c>
      <c r="B618" s="22" t="s">
        <v>891</v>
      </c>
      <c r="C618" s="22" t="s">
        <v>1063</v>
      </c>
      <c r="D618" s="22" t="s">
        <v>891</v>
      </c>
      <c r="E618" s="22" t="s">
        <v>891</v>
      </c>
      <c r="F618" s="22" t="s">
        <v>20</v>
      </c>
      <c r="G618" s="23" t="n">
        <v>1</v>
      </c>
      <c r="H618" s="24" t="n">
        <v>1</v>
      </c>
      <c r="I618" s="24" t="n">
        <v>28.1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4"/>
      <c r="O618" s="22"/>
    </row>
    <row collapsed="false" customFormat="false" customHeight="false" hidden="false" ht="12.1" outlineLevel="0" r="619">
      <c r="A619" s="21" t="n">
        <v>45537.6315625</v>
      </c>
      <c r="B619" s="22" t="s">
        <v>891</v>
      </c>
      <c r="C619" s="22" t="s">
        <v>933</v>
      </c>
      <c r="D619" s="22" t="s">
        <v>891</v>
      </c>
      <c r="E619" s="22" t="s">
        <v>891</v>
      </c>
      <c r="F619" s="22" t="s">
        <v>20</v>
      </c>
      <c r="G619" s="23" t="n">
        <v>1</v>
      </c>
      <c r="H619" s="24" t="n">
        <v>1</v>
      </c>
      <c r="I619" s="24" t="n">
        <v>24.81</v>
      </c>
      <c r="J619" s="24" t="n">
        <v>0</v>
      </c>
      <c r="K619" s="24" t="n">
        <v>0</v>
      </c>
      <c r="L619" s="24" t="n">
        <v>0</v>
      </c>
      <c r="M619" s="6" t="s">
        <f>=I619+J619+K619+L619</f>
      </c>
      <c r="N619" s="24"/>
      <c r="O619" s="22"/>
    </row>
    <row collapsed="false" customFormat="false" customHeight="false" hidden="false" ht="12.1" outlineLevel="0" r="620">
      <c r="A620" s="21" t="n">
        <v>45538.642083333</v>
      </c>
      <c r="B620" s="22" t="s">
        <v>891</v>
      </c>
      <c r="C620" s="22" t="s">
        <v>1046</v>
      </c>
      <c r="D620" s="22" t="s">
        <v>891</v>
      </c>
      <c r="E620" s="22" t="s">
        <v>891</v>
      </c>
      <c r="F620" s="22" t="s">
        <v>20</v>
      </c>
      <c r="G620" s="23" t="n">
        <v>1</v>
      </c>
      <c r="H620" s="24" t="n">
        <v>1</v>
      </c>
      <c r="I620" s="24" t="n">
        <v>39.9</v>
      </c>
      <c r="J620" s="24" t="n">
        <v>0</v>
      </c>
      <c r="K620" s="24" t="n">
        <v>0</v>
      </c>
      <c r="L620" s="24" t="n">
        <v>0</v>
      </c>
      <c r="M620" s="6" t="s">
        <f>=I620+J620+K620+L620</f>
      </c>
      <c r="N620" s="24"/>
      <c r="O620" s="22"/>
    </row>
    <row collapsed="false" customFormat="false" customHeight="false" hidden="false" ht="12.1" outlineLevel="0" r="621">
      <c r="A621" s="21" t="n">
        <v>45540.383263889</v>
      </c>
      <c r="B621" s="22" t="s">
        <v>891</v>
      </c>
      <c r="C621" s="22" t="s">
        <v>1068</v>
      </c>
      <c r="D621" s="22" t="s">
        <v>891</v>
      </c>
      <c r="E621" s="22" t="s">
        <v>891</v>
      </c>
      <c r="F621" s="22" t="s">
        <v>20</v>
      </c>
      <c r="G621" s="23" t="n">
        <v>1</v>
      </c>
      <c r="H621" s="24" t="n">
        <v>1</v>
      </c>
      <c r="I621" s="24" t="n">
        <v>179.52</v>
      </c>
      <c r="J621" s="24" t="n">
        <v>0</v>
      </c>
      <c r="K621" s="24" t="n">
        <v>0</v>
      </c>
      <c r="L621" s="24" t="n">
        <v>0</v>
      </c>
      <c r="M621" s="6" t="s">
        <f>=I621+J621+K621+L621</f>
      </c>
      <c r="N621" s="24"/>
      <c r="O621" s="22"/>
    </row>
    <row collapsed="false" customFormat="false" customHeight="false" hidden="false" ht="12.1" outlineLevel="0" r="622">
      <c r="A622" s="21" t="n">
        <v>45540.400081019</v>
      </c>
      <c r="B622" s="22" t="s">
        <v>891</v>
      </c>
      <c r="C622" s="22" t="s">
        <v>951</v>
      </c>
      <c r="D622" s="22" t="s">
        <v>891</v>
      </c>
      <c r="E622" s="22" t="s">
        <v>891</v>
      </c>
      <c r="F622" s="22" t="s">
        <v>20</v>
      </c>
      <c r="G622" s="23" t="n">
        <v>1</v>
      </c>
      <c r="H622" s="24" t="n">
        <v>1</v>
      </c>
      <c r="I622" s="24" t="n">
        <v>78.63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2"/>
    </row>
    <row collapsed="false" customFormat="false" customHeight="false" hidden="false" ht="12.1" outlineLevel="0" r="623">
      <c r="A623" s="21" t="n">
        <v>45540.736053241</v>
      </c>
      <c r="B623" s="22" t="s">
        <v>891</v>
      </c>
      <c r="C623" s="22" t="s">
        <v>934</v>
      </c>
      <c r="D623" s="22" t="s">
        <v>891</v>
      </c>
      <c r="E623" s="22" t="s">
        <v>891</v>
      </c>
      <c r="F623" s="22" t="s">
        <v>20</v>
      </c>
      <c r="G623" s="23" t="n">
        <v>1</v>
      </c>
      <c r="H623" s="24" t="n">
        <v>1</v>
      </c>
      <c r="I623" s="24" t="n">
        <v>19.87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2"/>
    </row>
    <row collapsed="false" customFormat="false" customHeight="false" hidden="false" ht="12.1" outlineLevel="0" r="624">
      <c r="A624" s="21" t="n">
        <v>45541.437962963</v>
      </c>
      <c r="B624" s="22" t="s">
        <v>884</v>
      </c>
      <c r="C624" s="22" t="s">
        <v>336</v>
      </c>
      <c r="D624" s="22" t="s">
        <v>884</v>
      </c>
      <c r="E624" s="22" t="s">
        <v>884</v>
      </c>
      <c r="F624" s="22" t="s">
        <v>20</v>
      </c>
      <c r="G624" s="23" t="n">
        <v>1</v>
      </c>
      <c r="H624" s="24" t="n">
        <v>1</v>
      </c>
      <c r="I624" s="24" t="n">
        <v>11200</v>
      </c>
      <c r="J624" s="24" t="n">
        <v>0</v>
      </c>
      <c r="K624" s="24" t="n">
        <v>0</v>
      </c>
      <c r="L624" s="24" t="n">
        <v>0</v>
      </c>
      <c r="M624" s="6" t="s">
        <f>=I624+J624+K624+L624</f>
      </c>
      <c r="N624" s="24"/>
      <c r="O624" s="22"/>
    </row>
    <row collapsed="false" customFormat="false" customHeight="false" hidden="false" ht="12.1" outlineLevel="0" r="625">
      <c r="A625" s="20" t="n">
        <v>45541.441898148</v>
      </c>
      <c r="B625" s="2" t="s">
        <v>74</v>
      </c>
      <c r="C625" s="2" t="s">
        <v>1041</v>
      </c>
      <c r="D625" s="2" t="s">
        <v>757</v>
      </c>
      <c r="E625" s="2" t="s">
        <v>18</v>
      </c>
      <c r="F625" s="2" t="s">
        <v>20</v>
      </c>
      <c r="G625" s="7" t="n">
        <v>10</v>
      </c>
      <c r="H625" s="6" t="n">
        <v>105.34</v>
      </c>
      <c r="I625" s="6" t="n">
        <v>-1053.4</v>
      </c>
      <c r="J625" s="6" t="n">
        <v>0</v>
      </c>
      <c r="K625" s="6" t="n">
        <v>-3.16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45541.442291667</v>
      </c>
      <c r="B626" s="2" t="s">
        <v>90</v>
      </c>
      <c r="C626" s="2" t="s">
        <v>1049</v>
      </c>
      <c r="D626" s="2" t="s">
        <v>757</v>
      </c>
      <c r="E626" s="2" t="s">
        <v>18</v>
      </c>
      <c r="F626" s="2" t="s">
        <v>20</v>
      </c>
      <c r="G626" s="7" t="n">
        <v>10</v>
      </c>
      <c r="H626" s="6" t="n">
        <v>30.12</v>
      </c>
      <c r="I626" s="6" t="n">
        <v>-301.2</v>
      </c>
      <c r="J626" s="6" t="n">
        <v>0</v>
      </c>
      <c r="K626" s="6" t="n">
        <v>-0.9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45541.442662037</v>
      </c>
      <c r="B627" s="2" t="s">
        <v>46</v>
      </c>
      <c r="C627" s="2" t="s">
        <v>905</v>
      </c>
      <c r="D627" s="2" t="s">
        <v>757</v>
      </c>
      <c r="E627" s="2" t="s">
        <v>18</v>
      </c>
      <c r="F627" s="2" t="s">
        <v>20</v>
      </c>
      <c r="G627" s="7" t="n">
        <v>100</v>
      </c>
      <c r="H627" s="6" t="n">
        <v>3.629</v>
      </c>
      <c r="I627" s="6" t="n">
        <v>-362.9</v>
      </c>
      <c r="J627" s="6" t="n">
        <v>0</v>
      </c>
      <c r="K627" s="6" t="n">
        <v>-1.09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45541.443148148</v>
      </c>
      <c r="B628" s="2" t="s">
        <v>49</v>
      </c>
      <c r="C628" s="2" t="s">
        <v>899</v>
      </c>
      <c r="D628" s="2" t="s">
        <v>757</v>
      </c>
      <c r="E628" s="2" t="s">
        <v>18</v>
      </c>
      <c r="F628" s="2" t="s">
        <v>20</v>
      </c>
      <c r="G628" s="7" t="n">
        <v>8</v>
      </c>
      <c r="H628" s="6" t="n">
        <v>87.11</v>
      </c>
      <c r="I628" s="6" t="n">
        <v>-696.88</v>
      </c>
      <c r="J628" s="6" t="n">
        <v>0</v>
      </c>
      <c r="K628" s="6" t="n">
        <v>-2.09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45541.443368056</v>
      </c>
      <c r="B629" s="2" t="s">
        <v>76</v>
      </c>
      <c r="C629" s="2" t="s">
        <v>1025</v>
      </c>
      <c r="D629" s="2" t="s">
        <v>757</v>
      </c>
      <c r="E629" s="2" t="s">
        <v>18</v>
      </c>
      <c r="F629" s="2" t="s">
        <v>20</v>
      </c>
      <c r="G629" s="7" t="n">
        <v>10</v>
      </c>
      <c r="H629" s="6" t="n">
        <v>90.05</v>
      </c>
      <c r="I629" s="6" t="n">
        <v>-900.5</v>
      </c>
      <c r="J629" s="6" t="n">
        <v>0</v>
      </c>
      <c r="K629" s="6" t="n">
        <v>-2.7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45541.443587963</v>
      </c>
      <c r="B630" s="2" t="s">
        <v>60</v>
      </c>
      <c r="C630" s="2" t="s">
        <v>943</v>
      </c>
      <c r="D630" s="2" t="s">
        <v>757</v>
      </c>
      <c r="E630" s="2" t="s">
        <v>18</v>
      </c>
      <c r="F630" s="2" t="s">
        <v>20</v>
      </c>
      <c r="G630" s="7" t="n">
        <v>100</v>
      </c>
      <c r="H630" s="6" t="n">
        <v>16.079</v>
      </c>
      <c r="I630" s="6" t="n">
        <v>-1607.9</v>
      </c>
      <c r="J630" s="6" t="n">
        <v>0</v>
      </c>
      <c r="K630" s="6" t="n">
        <v>-4.82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45541.443773148</v>
      </c>
      <c r="B631" s="2" t="s">
        <v>54</v>
      </c>
      <c r="C631" s="2" t="s">
        <v>949</v>
      </c>
      <c r="D631" s="2" t="s">
        <v>757</v>
      </c>
      <c r="E631" s="2" t="s">
        <v>18</v>
      </c>
      <c r="F631" s="2" t="s">
        <v>20</v>
      </c>
      <c r="G631" s="7" t="n">
        <v>10</v>
      </c>
      <c r="H631" s="6" t="n">
        <v>47.82</v>
      </c>
      <c r="I631" s="6" t="n">
        <v>-478.2</v>
      </c>
      <c r="J631" s="6" t="n">
        <v>0</v>
      </c>
      <c r="K631" s="6" t="n">
        <v>-1.43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45541.444988426</v>
      </c>
      <c r="B632" s="2" t="s">
        <v>189</v>
      </c>
      <c r="C632" s="2" t="s">
        <v>1053</v>
      </c>
      <c r="D632" s="2" t="s">
        <v>757</v>
      </c>
      <c r="E632" s="2" t="s">
        <v>96</v>
      </c>
      <c r="F632" s="2" t="s">
        <v>20</v>
      </c>
      <c r="G632" s="7" t="n">
        <v>1</v>
      </c>
      <c r="H632" s="6" t="n">
        <v>84.52</v>
      </c>
      <c r="I632" s="6" t="n">
        <v>-845.2</v>
      </c>
      <c r="J632" s="6" t="n">
        <v>-13.14</v>
      </c>
      <c r="K632" s="6" t="n">
        <v>-2.54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45541.453263889</v>
      </c>
      <c r="B633" s="2" t="s">
        <v>285</v>
      </c>
      <c r="C633" s="2" t="s">
        <v>1069</v>
      </c>
      <c r="D633" s="2" t="s">
        <v>757</v>
      </c>
      <c r="E633" s="2" t="s">
        <v>96</v>
      </c>
      <c r="F633" s="2" t="s">
        <v>20</v>
      </c>
      <c r="G633" s="7" t="n">
        <v>1</v>
      </c>
      <c r="H633" s="6" t="n">
        <v>87.11</v>
      </c>
      <c r="I633" s="6" t="n">
        <v>-871.1</v>
      </c>
      <c r="J633" s="6" t="n">
        <v>-5.22</v>
      </c>
      <c r="K633" s="6" t="n">
        <v>-2.61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45541.453726852</v>
      </c>
      <c r="B634" s="2" t="s">
        <v>240</v>
      </c>
      <c r="C634" s="2" t="s">
        <v>1070</v>
      </c>
      <c r="D634" s="2" t="s">
        <v>757</v>
      </c>
      <c r="E634" s="2" t="s">
        <v>96</v>
      </c>
      <c r="F634" s="2" t="s">
        <v>20</v>
      </c>
      <c r="G634" s="7" t="n">
        <v>1</v>
      </c>
      <c r="H634" s="6" t="n">
        <v>90.83</v>
      </c>
      <c r="I634" s="6" t="n">
        <v>-908.3</v>
      </c>
      <c r="J634" s="6" t="n">
        <v>-1.5600000000001</v>
      </c>
      <c r="K634" s="6" t="n">
        <v>-2.72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45541.455138889</v>
      </c>
      <c r="B635" s="2" t="s">
        <v>174</v>
      </c>
      <c r="C635" s="2" t="s">
        <v>1071</v>
      </c>
      <c r="D635" s="2" t="s">
        <v>757</v>
      </c>
      <c r="E635" s="2" t="s">
        <v>96</v>
      </c>
      <c r="F635" s="2" t="s">
        <v>20</v>
      </c>
      <c r="G635" s="7" t="n">
        <v>1</v>
      </c>
      <c r="H635" s="6" t="n">
        <v>80.06</v>
      </c>
      <c r="I635" s="6" t="n">
        <v>-800.6</v>
      </c>
      <c r="J635" s="6" t="n">
        <v>-3.5599999999999</v>
      </c>
      <c r="K635" s="6" t="n">
        <v>-2.4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45541.455462963</v>
      </c>
      <c r="B636" s="2" t="s">
        <v>168</v>
      </c>
      <c r="C636" s="2" t="s">
        <v>1072</v>
      </c>
      <c r="D636" s="2" t="s">
        <v>757</v>
      </c>
      <c r="E636" s="2" t="s">
        <v>96</v>
      </c>
      <c r="F636" s="2" t="s">
        <v>20</v>
      </c>
      <c r="G636" s="7" t="n">
        <v>1</v>
      </c>
      <c r="H636" s="6" t="n">
        <v>83.21</v>
      </c>
      <c r="I636" s="6" t="n">
        <v>-832.1</v>
      </c>
      <c r="J636" s="6" t="n">
        <v>-6.84</v>
      </c>
      <c r="K636" s="6" t="n">
        <v>-2.5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45541.456759259</v>
      </c>
      <c r="B637" s="2" t="s">
        <v>297</v>
      </c>
      <c r="C637" s="2" t="s">
        <v>1073</v>
      </c>
      <c r="D637" s="2" t="s">
        <v>757</v>
      </c>
      <c r="E637" s="2" t="s">
        <v>96</v>
      </c>
      <c r="F637" s="2" t="s">
        <v>20</v>
      </c>
      <c r="G637" s="7" t="n">
        <v>1</v>
      </c>
      <c r="H637" s="6" t="n">
        <v>78.57</v>
      </c>
      <c r="I637" s="6" t="n">
        <v>-785.7</v>
      </c>
      <c r="J637" s="6" t="n">
        <v>-9.9599999999999</v>
      </c>
      <c r="K637" s="6" t="n">
        <v>-2.36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45541.457685185</v>
      </c>
      <c r="B638" s="2" t="s">
        <v>264</v>
      </c>
      <c r="C638" s="2" t="s">
        <v>1074</v>
      </c>
      <c r="D638" s="2" t="s">
        <v>757</v>
      </c>
      <c r="E638" s="2" t="s">
        <v>96</v>
      </c>
      <c r="F638" s="2" t="s">
        <v>20</v>
      </c>
      <c r="G638" s="7" t="n">
        <v>1</v>
      </c>
      <c r="H638" s="6" t="n">
        <v>83.76</v>
      </c>
      <c r="I638" s="6" t="n">
        <v>-837.6</v>
      </c>
      <c r="J638" s="6" t="n">
        <v>-1.92</v>
      </c>
      <c r="K638" s="6" t="n">
        <v>-2.51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45541.458043981</v>
      </c>
      <c r="B639" s="2" t="s">
        <v>303</v>
      </c>
      <c r="C639" s="2" t="s">
        <v>1075</v>
      </c>
      <c r="D639" s="2" t="s">
        <v>757</v>
      </c>
      <c r="E639" s="2" t="s">
        <v>96</v>
      </c>
      <c r="F639" s="2" t="s">
        <v>20</v>
      </c>
      <c r="G639" s="7" t="n">
        <v>1</v>
      </c>
      <c r="H639" s="6" t="n">
        <v>73.39</v>
      </c>
      <c r="I639" s="6" t="n">
        <v>-733.9</v>
      </c>
      <c r="J639" s="6" t="n">
        <v>-1.0700000000001</v>
      </c>
      <c r="K639" s="6" t="n">
        <v>-2.2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0" t="n">
        <v>45541.461006944</v>
      </c>
      <c r="B640" s="2" t="s">
        <v>201</v>
      </c>
      <c r="C640" s="2" t="s">
        <v>1076</v>
      </c>
      <c r="D640" s="2" t="s">
        <v>757</v>
      </c>
      <c r="E640" s="2" t="s">
        <v>96</v>
      </c>
      <c r="F640" s="2" t="s">
        <v>20</v>
      </c>
      <c r="G640" s="7" t="n">
        <v>1</v>
      </c>
      <c r="H640" s="6" t="n">
        <v>80.08</v>
      </c>
      <c r="I640" s="6" t="n">
        <v>-800.8</v>
      </c>
      <c r="J640" s="6" t="n">
        <v>-14.63</v>
      </c>
      <c r="K640" s="6" t="n">
        <v>-2.4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45541.461423611</v>
      </c>
      <c r="B641" s="2" t="s">
        <v>294</v>
      </c>
      <c r="C641" s="2" t="s">
        <v>1077</v>
      </c>
      <c r="D641" s="2" t="s">
        <v>757</v>
      </c>
      <c r="E641" s="2" t="s">
        <v>96</v>
      </c>
      <c r="F641" s="2" t="s">
        <v>20</v>
      </c>
      <c r="G641" s="7" t="n">
        <v>1</v>
      </c>
      <c r="H641" s="6" t="n">
        <v>80.6</v>
      </c>
      <c r="I641" s="6" t="n">
        <v>-806</v>
      </c>
      <c r="J641" s="6" t="n">
        <v>-15.53</v>
      </c>
      <c r="K641" s="6" t="n">
        <v>-2.42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45541.46181713</v>
      </c>
      <c r="B642" s="2" t="s">
        <v>261</v>
      </c>
      <c r="C642" s="2" t="s">
        <v>1078</v>
      </c>
      <c r="D642" s="2" t="s">
        <v>757</v>
      </c>
      <c r="E642" s="2" t="s">
        <v>96</v>
      </c>
      <c r="F642" s="2" t="s">
        <v>20</v>
      </c>
      <c r="G642" s="7" t="n">
        <v>1</v>
      </c>
      <c r="H642" s="6" t="n">
        <v>82.82</v>
      </c>
      <c r="I642" s="6" t="n">
        <v>-828.2</v>
      </c>
      <c r="J642" s="6" t="n">
        <v>-29.98</v>
      </c>
      <c r="K642" s="6" t="n">
        <v>-2.48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1" t="n">
        <v>45541.705011574</v>
      </c>
      <c r="B643" s="22" t="s">
        <v>901</v>
      </c>
      <c r="C643" s="22" t="s">
        <v>1033</v>
      </c>
      <c r="D643" s="22" t="s">
        <v>901</v>
      </c>
      <c r="E643" s="22" t="s">
        <v>901</v>
      </c>
      <c r="F643" s="22" t="s">
        <v>20</v>
      </c>
      <c r="G643" s="23" t="n">
        <v>1</v>
      </c>
      <c r="H643" s="24" t="n">
        <v>1</v>
      </c>
      <c r="I643" s="24" t="n">
        <v>67</v>
      </c>
      <c r="J643" s="24" t="n">
        <v>0</v>
      </c>
      <c r="K643" s="24" t="n">
        <v>0</v>
      </c>
      <c r="L643" s="24" t="n">
        <v>0</v>
      </c>
      <c r="M643" s="6" t="s">
        <f>=I643+J643+K643+L643</f>
      </c>
      <c r="N643" s="24"/>
      <c r="O643" s="22"/>
    </row>
    <row collapsed="false" customFormat="false" customHeight="false" hidden="false" ht="12.1" outlineLevel="0" r="644">
      <c r="A644" s="21" t="n">
        <v>45541.70619213</v>
      </c>
      <c r="B644" s="22" t="s">
        <v>891</v>
      </c>
      <c r="C644" s="22" t="s">
        <v>1034</v>
      </c>
      <c r="D644" s="22" t="s">
        <v>891</v>
      </c>
      <c r="E644" s="22" t="s">
        <v>891</v>
      </c>
      <c r="F644" s="22" t="s">
        <v>20</v>
      </c>
      <c r="G644" s="23" t="n">
        <v>1</v>
      </c>
      <c r="H644" s="24" t="n">
        <v>1</v>
      </c>
      <c r="I644" s="24" t="n">
        <v>11.45</v>
      </c>
      <c r="J644" s="24" t="n">
        <v>0</v>
      </c>
      <c r="K644" s="24" t="n">
        <v>0</v>
      </c>
      <c r="L644" s="24" t="n">
        <v>0</v>
      </c>
      <c r="M644" s="6" t="s">
        <f>=I644+J644+K644+L644</f>
      </c>
      <c r="N644" s="24"/>
      <c r="O644" s="22"/>
    </row>
    <row collapsed="false" customFormat="false" customHeight="false" hidden="false" ht="12.1" outlineLevel="0" r="645">
      <c r="A645" s="21" t="n">
        <v>45553.533125</v>
      </c>
      <c r="B645" s="22" t="s">
        <v>891</v>
      </c>
      <c r="C645" s="22" t="s">
        <v>954</v>
      </c>
      <c r="D645" s="22" t="s">
        <v>891</v>
      </c>
      <c r="E645" s="22" t="s">
        <v>891</v>
      </c>
      <c r="F645" s="22" t="s">
        <v>20</v>
      </c>
      <c r="G645" s="23" t="n">
        <v>1</v>
      </c>
      <c r="H645" s="24" t="n">
        <v>1</v>
      </c>
      <c r="I645" s="24" t="n">
        <v>39.39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45554.491759259</v>
      </c>
      <c r="B646" s="22" t="s">
        <v>891</v>
      </c>
      <c r="C646" s="22" t="s">
        <v>913</v>
      </c>
      <c r="D646" s="22" t="s">
        <v>891</v>
      </c>
      <c r="E646" s="22" t="s">
        <v>891</v>
      </c>
      <c r="F646" s="22" t="s">
        <v>20</v>
      </c>
      <c r="G646" s="23" t="n">
        <v>1</v>
      </c>
      <c r="H646" s="24" t="n">
        <v>1</v>
      </c>
      <c r="I646" s="24" t="n">
        <v>323.62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1" t="n">
        <v>45559.501134259</v>
      </c>
      <c r="B647" s="22" t="s">
        <v>891</v>
      </c>
      <c r="C647" s="22" t="s">
        <v>1035</v>
      </c>
      <c r="D647" s="22" t="s">
        <v>891</v>
      </c>
      <c r="E647" s="22" t="s">
        <v>891</v>
      </c>
      <c r="F647" s="22" t="s">
        <v>20</v>
      </c>
      <c r="G647" s="23" t="n">
        <v>1</v>
      </c>
      <c r="H647" s="24" t="n">
        <v>1</v>
      </c>
      <c r="I647" s="24" t="n">
        <v>15.3</v>
      </c>
      <c r="J647" s="24" t="n">
        <v>0</v>
      </c>
      <c r="K647" s="24" t="n">
        <v>0</v>
      </c>
      <c r="L647" s="24" t="n">
        <v>0</v>
      </c>
      <c r="M647" s="6" t="s">
        <f>=I647+J647+K647+L647</f>
      </c>
      <c r="N647" s="24"/>
      <c r="O647" s="22"/>
    </row>
    <row collapsed="false" customFormat="false" customHeight="false" hidden="false" ht="12.1" outlineLevel="0" r="648">
      <c r="A648" s="21" t="n">
        <v>45560.375208333</v>
      </c>
      <c r="B648" s="22" t="s">
        <v>891</v>
      </c>
      <c r="C648" s="22" t="s">
        <v>1004</v>
      </c>
      <c r="D648" s="22" t="s">
        <v>891</v>
      </c>
      <c r="E648" s="22" t="s">
        <v>891</v>
      </c>
      <c r="F648" s="22" t="s">
        <v>20</v>
      </c>
      <c r="G648" s="23" t="n">
        <v>1</v>
      </c>
      <c r="H648" s="24" t="n">
        <v>1</v>
      </c>
      <c r="I648" s="24" t="n">
        <v>11.78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4"/>
      <c r="O648" s="22"/>
    </row>
    <row collapsed="false" customFormat="false" customHeight="false" hidden="false" ht="12.1" outlineLevel="0" r="649">
      <c r="A649" s="21" t="n">
        <v>45560.377083333</v>
      </c>
      <c r="B649" s="22" t="s">
        <v>901</v>
      </c>
      <c r="C649" s="22" t="s">
        <v>1003</v>
      </c>
      <c r="D649" s="22" t="s">
        <v>901</v>
      </c>
      <c r="E649" s="22" t="s">
        <v>901</v>
      </c>
      <c r="F649" s="22" t="s">
        <v>20</v>
      </c>
      <c r="G649" s="23" t="n">
        <v>1</v>
      </c>
      <c r="H649" s="24" t="n">
        <v>1</v>
      </c>
      <c r="I649" s="24" t="n">
        <v>150</v>
      </c>
      <c r="J649" s="24" t="n">
        <v>0</v>
      </c>
      <c r="K649" s="24" t="n">
        <v>0</v>
      </c>
      <c r="L649" s="24" t="n">
        <v>0</v>
      </c>
      <c r="M649" s="6" t="s">
        <f>=I649+J649+K649+L649</f>
      </c>
      <c r="N649" s="24"/>
      <c r="O649" s="22"/>
    </row>
    <row collapsed="false" customFormat="false" customHeight="false" hidden="false" ht="12.1" outlineLevel="0" r="650">
      <c r="A650" s="21" t="n">
        <v>45561.364664352</v>
      </c>
      <c r="B650" s="22" t="s">
        <v>891</v>
      </c>
      <c r="C650" s="22" t="s">
        <v>956</v>
      </c>
      <c r="D650" s="22" t="s">
        <v>891</v>
      </c>
      <c r="E650" s="22" t="s">
        <v>891</v>
      </c>
      <c r="F650" s="22" t="s">
        <v>20</v>
      </c>
      <c r="G650" s="23" t="n">
        <v>1</v>
      </c>
      <c r="H650" s="24" t="n">
        <v>1</v>
      </c>
      <c r="I650" s="24" t="n">
        <v>65.04</v>
      </c>
      <c r="J650" s="24" t="n">
        <v>0</v>
      </c>
      <c r="K650" s="24" t="n">
        <v>0</v>
      </c>
      <c r="L650" s="24" t="n">
        <v>0</v>
      </c>
      <c r="M650" s="6" t="s">
        <f>=I650+J650+K650+L650</f>
      </c>
      <c r="N650" s="24"/>
      <c r="O650" s="22"/>
    </row>
    <row collapsed="false" customFormat="false" customHeight="false" hidden="false" ht="12.1" outlineLevel="0" r="651">
      <c r="A651" s="21" t="n">
        <v>45561.414837963</v>
      </c>
      <c r="B651" s="22" t="s">
        <v>891</v>
      </c>
      <c r="C651" s="22" t="s">
        <v>1037</v>
      </c>
      <c r="D651" s="22" t="s">
        <v>891</v>
      </c>
      <c r="E651" s="22" t="s">
        <v>891</v>
      </c>
      <c r="F651" s="22" t="s">
        <v>20</v>
      </c>
      <c r="G651" s="23" t="n">
        <v>1</v>
      </c>
      <c r="H651" s="24" t="n">
        <v>1</v>
      </c>
      <c r="I651" s="24" t="n">
        <v>211.9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1" t="n">
        <v>45561.438402778</v>
      </c>
      <c r="B652" s="22" t="s">
        <v>891</v>
      </c>
      <c r="C652" s="22" t="s">
        <v>1036</v>
      </c>
      <c r="D652" s="22" t="s">
        <v>891</v>
      </c>
      <c r="E652" s="22" t="s">
        <v>891</v>
      </c>
      <c r="F652" s="22" t="s">
        <v>20</v>
      </c>
      <c r="G652" s="23" t="n">
        <v>1</v>
      </c>
      <c r="H652" s="24" t="n">
        <v>1</v>
      </c>
      <c r="I652" s="24" t="n">
        <v>392.7</v>
      </c>
      <c r="J652" s="24" t="n">
        <v>0</v>
      </c>
      <c r="K652" s="24" t="n">
        <v>0</v>
      </c>
      <c r="L652" s="24" t="n">
        <v>0</v>
      </c>
      <c r="M652" s="6" t="s">
        <f>=I652+J652+K652+L652</f>
      </c>
      <c r="N652" s="24"/>
      <c r="O652" s="22"/>
    </row>
    <row collapsed="false" customFormat="false" customHeight="false" hidden="false" ht="12.1" outlineLevel="0" r="653">
      <c r="A653" s="21" t="n">
        <v>45561.69099537</v>
      </c>
      <c r="B653" s="22" t="s">
        <v>891</v>
      </c>
      <c r="C653" s="22" t="s">
        <v>1079</v>
      </c>
      <c r="D653" s="22" t="s">
        <v>891</v>
      </c>
      <c r="E653" s="22" t="s">
        <v>891</v>
      </c>
      <c r="F653" s="22" t="s">
        <v>20</v>
      </c>
      <c r="G653" s="23" t="n">
        <v>1</v>
      </c>
      <c r="H653" s="24" t="n">
        <v>1</v>
      </c>
      <c r="I653" s="24" t="n">
        <v>11.18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4"/>
      <c r="O653" s="22"/>
    </row>
    <row collapsed="false" customFormat="false" customHeight="false" hidden="false" ht="12.1" outlineLevel="0" r="654">
      <c r="A654" s="21" t="n">
        <v>45562.674224537</v>
      </c>
      <c r="B654" s="22" t="s">
        <v>891</v>
      </c>
      <c r="C654" s="22" t="s">
        <v>1002</v>
      </c>
      <c r="D654" s="22" t="s">
        <v>891</v>
      </c>
      <c r="E654" s="22" t="s">
        <v>891</v>
      </c>
      <c r="F654" s="22" t="s">
        <v>20</v>
      </c>
      <c r="G654" s="23" t="n">
        <v>1</v>
      </c>
      <c r="H654" s="24" t="n">
        <v>1</v>
      </c>
      <c r="I654" s="24" t="n">
        <v>31.22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45565.518298611</v>
      </c>
      <c r="B655" s="22" t="s">
        <v>891</v>
      </c>
      <c r="C655" s="22" t="s">
        <v>1063</v>
      </c>
      <c r="D655" s="22" t="s">
        <v>891</v>
      </c>
      <c r="E655" s="22" t="s">
        <v>891</v>
      </c>
      <c r="F655" s="22" t="s">
        <v>20</v>
      </c>
      <c r="G655" s="23" t="n">
        <v>1</v>
      </c>
      <c r="H655" s="24" t="n">
        <v>1</v>
      </c>
      <c r="I655" s="24" t="n">
        <v>31.4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1" t="n">
        <v>45566.443460648</v>
      </c>
      <c r="B656" s="22" t="s">
        <v>884</v>
      </c>
      <c r="C656" s="22" t="s">
        <v>336</v>
      </c>
      <c r="D656" s="22" t="s">
        <v>884</v>
      </c>
      <c r="E656" s="22" t="s">
        <v>884</v>
      </c>
      <c r="F656" s="22" t="s">
        <v>20</v>
      </c>
      <c r="G656" s="23" t="n">
        <v>1</v>
      </c>
      <c r="H656" s="24" t="n">
        <v>1</v>
      </c>
      <c r="I656" s="24" t="n">
        <v>11000</v>
      </c>
      <c r="J656" s="24" t="n">
        <v>0</v>
      </c>
      <c r="K656" s="24" t="n">
        <v>0</v>
      </c>
      <c r="L656" s="24" t="n">
        <v>0</v>
      </c>
      <c r="M656" s="6" t="s">
        <f>=I656+J656+K656+L656</f>
      </c>
      <c r="N656" s="24"/>
      <c r="O656" s="22"/>
    </row>
    <row collapsed="false" customFormat="false" customHeight="false" hidden="false" ht="12.1" outlineLevel="0" r="657">
      <c r="A657" s="20" t="n">
        <v>45566.619641204</v>
      </c>
      <c r="B657" s="2" t="s">
        <v>114</v>
      </c>
      <c r="C657" s="2" t="s">
        <v>964</v>
      </c>
      <c r="D657" s="2" t="s">
        <v>757</v>
      </c>
      <c r="E657" s="2" t="s">
        <v>96</v>
      </c>
      <c r="F657" s="2" t="s">
        <v>20</v>
      </c>
      <c r="G657" s="7" t="n">
        <v>1</v>
      </c>
      <c r="H657" s="6" t="n">
        <v>67.953</v>
      </c>
      <c r="I657" s="6" t="n">
        <v>-679.53</v>
      </c>
      <c r="J657" s="6" t="n">
        <v>-35.22</v>
      </c>
      <c r="K657" s="6" t="n">
        <v>-2.04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0" t="n">
        <v>45566.620300926</v>
      </c>
      <c r="B658" s="2" t="s">
        <v>126</v>
      </c>
      <c r="C658" s="2" t="s">
        <v>1027</v>
      </c>
      <c r="D658" s="2" t="s">
        <v>757</v>
      </c>
      <c r="E658" s="2" t="s">
        <v>96</v>
      </c>
      <c r="F658" s="2" t="s">
        <v>20</v>
      </c>
      <c r="G658" s="7" t="n">
        <v>1</v>
      </c>
      <c r="H658" s="6" t="n">
        <v>67.848</v>
      </c>
      <c r="I658" s="6" t="n">
        <v>-678.48</v>
      </c>
      <c r="J658" s="6" t="n">
        <v>-1.63</v>
      </c>
      <c r="K658" s="6" t="n">
        <v>-2.04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0" t="n">
        <v>45566.620856481</v>
      </c>
      <c r="B659" s="2" t="s">
        <v>117</v>
      </c>
      <c r="C659" s="2" t="s">
        <v>889</v>
      </c>
      <c r="D659" s="2" t="s">
        <v>757</v>
      </c>
      <c r="E659" s="2" t="s">
        <v>96</v>
      </c>
      <c r="F659" s="2" t="s">
        <v>20</v>
      </c>
      <c r="G659" s="7" t="n">
        <v>1</v>
      </c>
      <c r="H659" s="6" t="n">
        <v>59.095</v>
      </c>
      <c r="I659" s="6" t="n">
        <v>-590.95</v>
      </c>
      <c r="J659" s="6" t="n">
        <v>-2.26</v>
      </c>
      <c r="K659" s="6" t="n">
        <v>-1.77</v>
      </c>
      <c r="L659" s="6" t="n">
        <v>0</v>
      </c>
      <c r="M659" s="6" t="s">
        <f>=I659+J659+K659+L659</f>
      </c>
      <c r="N659" s="6"/>
      <c r="O659" s="2"/>
    </row>
    <row collapsed="false" customFormat="false" customHeight="false" hidden="false" ht="12.1" outlineLevel="0" r="660">
      <c r="A660" s="20" t="n">
        <v>45566.62125</v>
      </c>
      <c r="B660" s="2" t="s">
        <v>99</v>
      </c>
      <c r="C660" s="2" t="s">
        <v>897</v>
      </c>
      <c r="D660" s="2" t="s">
        <v>757</v>
      </c>
      <c r="E660" s="2" t="s">
        <v>96</v>
      </c>
      <c r="F660" s="2" t="s">
        <v>20</v>
      </c>
      <c r="G660" s="7" t="n">
        <v>1</v>
      </c>
      <c r="H660" s="6" t="n">
        <v>104.484</v>
      </c>
      <c r="I660" s="6" t="n">
        <v>-1044.84</v>
      </c>
      <c r="J660" s="6" t="n">
        <v>-49.79</v>
      </c>
      <c r="K660" s="6" t="n">
        <v>-3.13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45566.621574074</v>
      </c>
      <c r="B661" s="2" t="s">
        <v>162</v>
      </c>
      <c r="C661" s="2" t="s">
        <v>1045</v>
      </c>
      <c r="D661" s="2" t="s">
        <v>757</v>
      </c>
      <c r="E661" s="2" t="s">
        <v>96</v>
      </c>
      <c r="F661" s="2" t="s">
        <v>20</v>
      </c>
      <c r="G661" s="7" t="n">
        <v>1</v>
      </c>
      <c r="H661" s="6" t="n">
        <v>61.995</v>
      </c>
      <c r="I661" s="6" t="n">
        <v>-619.95</v>
      </c>
      <c r="J661" s="6" t="n">
        <v>-11.91</v>
      </c>
      <c r="K661" s="6" t="n">
        <v>-1.86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45566.621944444</v>
      </c>
      <c r="B662" s="2" t="s">
        <v>123</v>
      </c>
      <c r="C662" s="2" t="s">
        <v>1020</v>
      </c>
      <c r="D662" s="2" t="s">
        <v>757</v>
      </c>
      <c r="E662" s="2" t="s">
        <v>96</v>
      </c>
      <c r="F662" s="2" t="s">
        <v>20</v>
      </c>
      <c r="G662" s="7" t="n">
        <v>1</v>
      </c>
      <c r="H662" s="6" t="n">
        <v>69.699</v>
      </c>
      <c r="I662" s="6" t="n">
        <v>-696.99</v>
      </c>
      <c r="J662" s="6" t="n">
        <v>-32.79</v>
      </c>
      <c r="K662" s="6" t="n">
        <v>-2.09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45566.622233796</v>
      </c>
      <c r="B663" s="2" t="s">
        <v>105</v>
      </c>
      <c r="C663" s="2" t="s">
        <v>895</v>
      </c>
      <c r="D663" s="2" t="s">
        <v>757</v>
      </c>
      <c r="E663" s="2" t="s">
        <v>96</v>
      </c>
      <c r="F663" s="2" t="s">
        <v>20</v>
      </c>
      <c r="G663" s="7" t="n">
        <v>1</v>
      </c>
      <c r="H663" s="6" t="n">
        <v>103.349</v>
      </c>
      <c r="I663" s="6" t="n">
        <v>-1033.49</v>
      </c>
      <c r="J663" s="6" t="n">
        <v>-65.36</v>
      </c>
      <c r="K663" s="6" t="n">
        <v>-3.1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45566.622847222</v>
      </c>
      <c r="B664" s="2" t="s">
        <v>147</v>
      </c>
      <c r="C664" s="2" t="s">
        <v>1080</v>
      </c>
      <c r="D664" s="2" t="s">
        <v>757</v>
      </c>
      <c r="E664" s="2" t="s">
        <v>96</v>
      </c>
      <c r="F664" s="2" t="s">
        <v>20</v>
      </c>
      <c r="G664" s="7" t="n">
        <v>1</v>
      </c>
      <c r="H664" s="6" t="n">
        <v>78.73</v>
      </c>
      <c r="I664" s="6" t="n">
        <v>-787.3</v>
      </c>
      <c r="J664" s="6" t="n">
        <v>-46.99</v>
      </c>
      <c r="K664" s="6" t="n">
        <v>-2.36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20" t="n">
        <v>45566.623206019</v>
      </c>
      <c r="B665" s="2" t="s">
        <v>129</v>
      </c>
      <c r="C665" s="2" t="s">
        <v>1081</v>
      </c>
      <c r="D665" s="2" t="s">
        <v>757</v>
      </c>
      <c r="E665" s="2" t="s">
        <v>96</v>
      </c>
      <c r="F665" s="2" t="s">
        <v>20</v>
      </c>
      <c r="G665" s="7" t="n">
        <v>1</v>
      </c>
      <c r="H665" s="6" t="n">
        <v>78.55</v>
      </c>
      <c r="I665" s="6" t="n">
        <v>-785.5</v>
      </c>
      <c r="J665" s="6" t="n">
        <v>-46.99</v>
      </c>
      <c r="K665" s="6" t="n">
        <v>-2.36</v>
      </c>
      <c r="L665" s="6" t="n">
        <v>0</v>
      </c>
      <c r="M665" s="6" t="s">
        <f>=I665+J665+K665+L665</f>
      </c>
      <c r="N665" s="6"/>
      <c r="O665" s="2"/>
    </row>
    <row collapsed="false" customFormat="false" customHeight="false" hidden="false" ht="12.1" outlineLevel="0" r="666">
      <c r="A666" s="20" t="n">
        <v>45566.624166667</v>
      </c>
      <c r="B666" s="2" t="s">
        <v>132</v>
      </c>
      <c r="C666" s="2" t="s">
        <v>927</v>
      </c>
      <c r="D666" s="2" t="s">
        <v>757</v>
      </c>
      <c r="E666" s="2" t="s">
        <v>96</v>
      </c>
      <c r="F666" s="2" t="s">
        <v>20</v>
      </c>
      <c r="G666" s="7" t="n">
        <v>1</v>
      </c>
      <c r="H666" s="6" t="n">
        <v>62.319</v>
      </c>
      <c r="I666" s="6" t="n">
        <v>-623.19</v>
      </c>
      <c r="J666" s="6" t="n">
        <v>0</v>
      </c>
      <c r="K666" s="6" t="n">
        <v>-1.87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0" t="n">
        <v>45566.624918981</v>
      </c>
      <c r="B667" s="2" t="s">
        <v>114</v>
      </c>
      <c r="C667" s="2" t="s">
        <v>964</v>
      </c>
      <c r="D667" s="2" t="s">
        <v>757</v>
      </c>
      <c r="E667" s="2" t="s">
        <v>96</v>
      </c>
      <c r="F667" s="2" t="s">
        <v>20</v>
      </c>
      <c r="G667" s="7" t="n">
        <v>1</v>
      </c>
      <c r="H667" s="6" t="n">
        <v>68.04</v>
      </c>
      <c r="I667" s="6" t="n">
        <v>-680.4</v>
      </c>
      <c r="J667" s="6" t="n">
        <v>-35.22</v>
      </c>
      <c r="K667" s="6" t="n">
        <v>-2.04</v>
      </c>
      <c r="L667" s="6" t="n">
        <v>0</v>
      </c>
      <c r="M667" s="6" t="s">
        <f>=I667+J667+K667+L667</f>
      </c>
      <c r="N667" s="6"/>
      <c r="O667" s="2"/>
    </row>
    <row collapsed="false" customFormat="false" customHeight="false" hidden="false" ht="12.1" outlineLevel="0" r="668">
      <c r="A668" s="20" t="n">
        <v>45566.625324074</v>
      </c>
      <c r="B668" s="2" t="s">
        <v>126</v>
      </c>
      <c r="C668" s="2" t="s">
        <v>1027</v>
      </c>
      <c r="D668" s="2" t="s">
        <v>757</v>
      </c>
      <c r="E668" s="2" t="s">
        <v>96</v>
      </c>
      <c r="F668" s="2" t="s">
        <v>20</v>
      </c>
      <c r="G668" s="7" t="n">
        <v>1</v>
      </c>
      <c r="H668" s="6" t="n">
        <v>67.813</v>
      </c>
      <c r="I668" s="6" t="n">
        <v>-678.13</v>
      </c>
      <c r="J668" s="6" t="n">
        <v>-1.63</v>
      </c>
      <c r="K668" s="6" t="n">
        <v>-2.03</v>
      </c>
      <c r="L668" s="6" t="n">
        <v>0</v>
      </c>
      <c r="M668" s="6" t="s">
        <f>=I668+J668+K668+L668</f>
      </c>
      <c r="N668" s="6"/>
      <c r="O668" s="2"/>
    </row>
    <row collapsed="false" customFormat="false" customHeight="false" hidden="false" ht="12.1" outlineLevel="0" r="669">
      <c r="A669" s="20" t="n">
        <v>45566.628993056</v>
      </c>
      <c r="B669" s="2" t="s">
        <v>117</v>
      </c>
      <c r="C669" s="2" t="s">
        <v>889</v>
      </c>
      <c r="D669" s="2" t="s">
        <v>757</v>
      </c>
      <c r="E669" s="2" t="s">
        <v>96</v>
      </c>
      <c r="F669" s="2" t="s">
        <v>20</v>
      </c>
      <c r="G669" s="7" t="n">
        <v>1</v>
      </c>
      <c r="H669" s="6" t="n">
        <v>59.073</v>
      </c>
      <c r="I669" s="6" t="n">
        <v>-590.73</v>
      </c>
      <c r="J669" s="6" t="n">
        <v>-2.26</v>
      </c>
      <c r="K669" s="6" t="n">
        <v>-1.77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45566.62931713</v>
      </c>
      <c r="B670" s="2" t="s">
        <v>99</v>
      </c>
      <c r="C670" s="2" t="s">
        <v>897</v>
      </c>
      <c r="D670" s="2" t="s">
        <v>757</v>
      </c>
      <c r="E670" s="2" t="s">
        <v>96</v>
      </c>
      <c r="F670" s="2" t="s">
        <v>20</v>
      </c>
      <c r="G670" s="7" t="n">
        <v>1</v>
      </c>
      <c r="H670" s="6" t="n">
        <v>104.744</v>
      </c>
      <c r="I670" s="6" t="n">
        <v>-1047.44</v>
      </c>
      <c r="J670" s="6" t="n">
        <v>-49.79</v>
      </c>
      <c r="K670" s="6" t="n">
        <v>-3.14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45566.630150463</v>
      </c>
      <c r="B671" s="2" t="s">
        <v>162</v>
      </c>
      <c r="C671" s="2" t="s">
        <v>1045</v>
      </c>
      <c r="D671" s="2" t="s">
        <v>757</v>
      </c>
      <c r="E671" s="2" t="s">
        <v>96</v>
      </c>
      <c r="F671" s="2" t="s">
        <v>20</v>
      </c>
      <c r="G671" s="7" t="n">
        <v>1</v>
      </c>
      <c r="H671" s="6" t="n">
        <v>61.996</v>
      </c>
      <c r="I671" s="6" t="n">
        <v>-619.96</v>
      </c>
      <c r="J671" s="6" t="n">
        <v>-11.91</v>
      </c>
      <c r="K671" s="6" t="n">
        <v>-1.86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45566.630810185</v>
      </c>
      <c r="B672" s="2" t="s">
        <v>123</v>
      </c>
      <c r="C672" s="2" t="s">
        <v>1020</v>
      </c>
      <c r="D672" s="2" t="s">
        <v>757</v>
      </c>
      <c r="E672" s="2" t="s">
        <v>96</v>
      </c>
      <c r="F672" s="2" t="s">
        <v>20</v>
      </c>
      <c r="G672" s="7" t="n">
        <v>1</v>
      </c>
      <c r="H672" s="6" t="n">
        <v>69.749</v>
      </c>
      <c r="I672" s="6" t="n">
        <v>-697.49</v>
      </c>
      <c r="J672" s="6" t="n">
        <v>-32.79</v>
      </c>
      <c r="K672" s="6" t="n">
        <v>-2.09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1" t="n">
        <v>45568.440694444</v>
      </c>
      <c r="B673" s="22" t="s">
        <v>891</v>
      </c>
      <c r="C673" s="22" t="s">
        <v>958</v>
      </c>
      <c r="D673" s="22" t="s">
        <v>891</v>
      </c>
      <c r="E673" s="22" t="s">
        <v>891</v>
      </c>
      <c r="F673" s="22" t="s">
        <v>20</v>
      </c>
      <c r="G673" s="23" t="n">
        <v>1</v>
      </c>
      <c r="H673" s="24" t="n">
        <v>1</v>
      </c>
      <c r="I673" s="24" t="n">
        <v>614.24</v>
      </c>
      <c r="J673" s="24" t="n">
        <v>0</v>
      </c>
      <c r="K673" s="24" t="n">
        <v>0</v>
      </c>
      <c r="L673" s="24" t="n">
        <v>0</v>
      </c>
      <c r="M673" s="6" t="s">
        <f>=I673+J673+K673+L673</f>
      </c>
      <c r="N673" s="24"/>
      <c r="O673" s="22"/>
    </row>
    <row collapsed="false" customFormat="false" customHeight="false" hidden="false" ht="12.1" outlineLevel="0" r="674">
      <c r="A674" s="21" t="n">
        <v>45568.474201389</v>
      </c>
      <c r="B674" s="22" t="s">
        <v>891</v>
      </c>
      <c r="C674" s="22" t="s">
        <v>957</v>
      </c>
      <c r="D674" s="22" t="s">
        <v>891</v>
      </c>
      <c r="E674" s="22" t="s">
        <v>891</v>
      </c>
      <c r="F674" s="22" t="s">
        <v>20</v>
      </c>
      <c r="G674" s="23" t="n">
        <v>1</v>
      </c>
      <c r="H674" s="24" t="n">
        <v>1</v>
      </c>
      <c r="I674" s="24" t="n">
        <v>230.34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2"/>
    </row>
    <row collapsed="false" customFormat="false" customHeight="false" hidden="false" ht="12.1" outlineLevel="0" r="675">
      <c r="A675" s="21" t="n">
        <v>45569.642337963</v>
      </c>
      <c r="B675" s="22" t="s">
        <v>891</v>
      </c>
      <c r="C675" s="22" t="s">
        <v>900</v>
      </c>
      <c r="D675" s="22" t="s">
        <v>891</v>
      </c>
      <c r="E675" s="22" t="s">
        <v>891</v>
      </c>
      <c r="F675" s="22" t="s">
        <v>20</v>
      </c>
      <c r="G675" s="23" t="n">
        <v>1</v>
      </c>
      <c r="H675" s="24" t="n">
        <v>1</v>
      </c>
      <c r="I675" s="24" t="n">
        <v>6.98</v>
      </c>
      <c r="J675" s="24" t="n">
        <v>0</v>
      </c>
      <c r="K675" s="24" t="n">
        <v>0</v>
      </c>
      <c r="L675" s="24" t="n">
        <v>0</v>
      </c>
      <c r="M675" s="6" t="s">
        <f>=I675+J675+K675+L675</f>
      </c>
      <c r="N675" s="24"/>
      <c r="O675" s="22"/>
    </row>
    <row collapsed="false" customFormat="false" customHeight="false" hidden="false" ht="12.1" outlineLevel="0" r="676">
      <c r="A676" s="21" t="n">
        <v>45575.566296296</v>
      </c>
      <c r="B676" s="22" t="s">
        <v>891</v>
      </c>
      <c r="C676" s="22" t="s">
        <v>961</v>
      </c>
      <c r="D676" s="22" t="s">
        <v>891</v>
      </c>
      <c r="E676" s="22" t="s">
        <v>891</v>
      </c>
      <c r="F676" s="22" t="s">
        <v>20</v>
      </c>
      <c r="G676" s="23" t="n">
        <v>1</v>
      </c>
      <c r="H676" s="24" t="n">
        <v>1</v>
      </c>
      <c r="I676" s="24" t="n">
        <v>411.1</v>
      </c>
      <c r="J676" s="24" t="n">
        <v>0</v>
      </c>
      <c r="K676" s="24" t="n">
        <v>0</v>
      </c>
      <c r="L676" s="24" t="n">
        <v>0</v>
      </c>
      <c r="M676" s="6" t="s">
        <f>=I676+J676+K676+L676</f>
      </c>
      <c r="N676" s="24"/>
      <c r="O676" s="22"/>
    </row>
    <row collapsed="false" customFormat="false" customHeight="false" hidden="false" ht="12.1" outlineLevel="0" r="677">
      <c r="A677" s="21" t="n">
        <v>45579.629525463</v>
      </c>
      <c r="B677" s="22" t="s">
        <v>891</v>
      </c>
      <c r="C677" s="22" t="s">
        <v>1082</v>
      </c>
      <c r="D677" s="22" t="s">
        <v>891</v>
      </c>
      <c r="E677" s="22" t="s">
        <v>891</v>
      </c>
      <c r="F677" s="22" t="s">
        <v>20</v>
      </c>
      <c r="G677" s="23" t="n">
        <v>1</v>
      </c>
      <c r="H677" s="24" t="n">
        <v>1</v>
      </c>
      <c r="I677" s="24" t="n">
        <v>242.4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4"/>
      <c r="O677" s="22"/>
    </row>
    <row collapsed="false" customFormat="false" customHeight="false" hidden="false" ht="12.1" outlineLevel="0" r="678">
      <c r="A678" s="25" t="n">
        <v>45579.629525463</v>
      </c>
      <c r="B678" s="26" t="s">
        <v>917</v>
      </c>
      <c r="C678" s="26" t="s">
        <v>1083</v>
      </c>
      <c r="D678" s="26" t="s">
        <v>917</v>
      </c>
      <c r="E678" s="26" t="s">
        <v>917</v>
      </c>
      <c r="F678" s="26" t="s">
        <v>20</v>
      </c>
      <c r="G678" s="27" t="n">
        <v>1</v>
      </c>
      <c r="H678" s="28" t="n">
        <v>-32</v>
      </c>
      <c r="I678" s="28" t="n">
        <v>-32</v>
      </c>
      <c r="J678" s="28" t="n">
        <v>0</v>
      </c>
      <c r="K678" s="28" t="n">
        <v>0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1" t="n">
        <v>45582.51912037</v>
      </c>
      <c r="B679" s="22" t="s">
        <v>891</v>
      </c>
      <c r="C679" s="22" t="s">
        <v>1006</v>
      </c>
      <c r="D679" s="22" t="s">
        <v>891</v>
      </c>
      <c r="E679" s="22" t="s">
        <v>891</v>
      </c>
      <c r="F679" s="22" t="s">
        <v>20</v>
      </c>
      <c r="G679" s="23" t="n">
        <v>1</v>
      </c>
      <c r="H679" s="24" t="n">
        <v>1</v>
      </c>
      <c r="I679" s="24" t="n">
        <v>381.5</v>
      </c>
      <c r="J679" s="24" t="n">
        <v>0</v>
      </c>
      <c r="K679" s="24" t="n">
        <v>0</v>
      </c>
      <c r="L679" s="24" t="n">
        <v>0</v>
      </c>
      <c r="M679" s="6" t="s">
        <f>=I679+J679+K679+L679</f>
      </c>
      <c r="N679" s="24"/>
      <c r="O679" s="22"/>
    </row>
    <row collapsed="false" customFormat="false" customHeight="false" hidden="false" ht="12.1" outlineLevel="0" r="680">
      <c r="A680" s="21" t="n">
        <v>45582.634652778</v>
      </c>
      <c r="B680" s="22" t="s">
        <v>891</v>
      </c>
      <c r="C680" s="22" t="s">
        <v>1084</v>
      </c>
      <c r="D680" s="22" t="s">
        <v>891</v>
      </c>
      <c r="E680" s="22" t="s">
        <v>891</v>
      </c>
      <c r="F680" s="22" t="s">
        <v>20</v>
      </c>
      <c r="G680" s="23" t="n">
        <v>1</v>
      </c>
      <c r="H680" s="24" t="n">
        <v>1</v>
      </c>
      <c r="I680" s="24" t="n">
        <v>26.18</v>
      </c>
      <c r="J680" s="24" t="n">
        <v>0</v>
      </c>
      <c r="K680" s="24" t="n">
        <v>0</v>
      </c>
      <c r="L680" s="24" t="n">
        <v>0</v>
      </c>
      <c r="M680" s="6" t="s">
        <f>=I680+J680+K680+L680</f>
      </c>
      <c r="N680" s="24"/>
      <c r="O680" s="22"/>
    </row>
    <row collapsed="false" customFormat="false" customHeight="false" hidden="false" ht="12.1" outlineLevel="0" r="681">
      <c r="A681" s="21" t="n">
        <v>45588.462349537</v>
      </c>
      <c r="B681" s="22" t="s">
        <v>891</v>
      </c>
      <c r="C681" s="22" t="s">
        <v>1023</v>
      </c>
      <c r="D681" s="22" t="s">
        <v>891</v>
      </c>
      <c r="E681" s="22" t="s">
        <v>891</v>
      </c>
      <c r="F681" s="22" t="s">
        <v>20</v>
      </c>
      <c r="G681" s="23" t="n">
        <v>1</v>
      </c>
      <c r="H681" s="24" t="n">
        <v>1</v>
      </c>
      <c r="I681" s="24" t="n">
        <v>34.28</v>
      </c>
      <c r="J681" s="24" t="n">
        <v>0</v>
      </c>
      <c r="K681" s="24" t="n">
        <v>0</v>
      </c>
      <c r="L681" s="24" t="n">
        <v>0</v>
      </c>
      <c r="M681" s="6" t="s">
        <f>=I681+J681+K681+L681</f>
      </c>
      <c r="N681" s="24"/>
      <c r="O681" s="22"/>
    </row>
    <row collapsed="false" customFormat="false" customHeight="false" hidden="false" ht="12.1" outlineLevel="0" r="682">
      <c r="A682" s="21" t="n">
        <v>45588.652719907</v>
      </c>
      <c r="B682" s="22" t="s">
        <v>891</v>
      </c>
      <c r="C682" s="22" t="s">
        <v>923</v>
      </c>
      <c r="D682" s="22" t="s">
        <v>891</v>
      </c>
      <c r="E682" s="22" t="s">
        <v>891</v>
      </c>
      <c r="F682" s="22" t="s">
        <v>20</v>
      </c>
      <c r="G682" s="23" t="n">
        <v>1</v>
      </c>
      <c r="H682" s="24" t="n">
        <v>1</v>
      </c>
      <c r="I682" s="24" t="n">
        <v>38.2</v>
      </c>
      <c r="J682" s="24" t="n">
        <v>0</v>
      </c>
      <c r="K682" s="24" t="n">
        <v>0</v>
      </c>
      <c r="L682" s="24" t="n">
        <v>0</v>
      </c>
      <c r="M682" s="6" t="s">
        <f>=I682+J682+K682+L682</f>
      </c>
      <c r="N682" s="24"/>
      <c r="O682" s="22"/>
    </row>
    <row collapsed="false" customFormat="false" customHeight="false" hidden="false" ht="12.1" outlineLevel="0" r="683">
      <c r="A683" s="25" t="n">
        <v>45588.652719907</v>
      </c>
      <c r="B683" s="26" t="s">
        <v>917</v>
      </c>
      <c r="C683" s="26" t="s">
        <v>922</v>
      </c>
      <c r="D683" s="26" t="s">
        <v>917</v>
      </c>
      <c r="E683" s="26" t="s">
        <v>917</v>
      </c>
      <c r="F683" s="26" t="s">
        <v>20</v>
      </c>
      <c r="G683" s="27" t="n">
        <v>1</v>
      </c>
      <c r="H683" s="28" t="n">
        <v>-5</v>
      </c>
      <c r="I683" s="28" t="n">
        <v>-5</v>
      </c>
      <c r="J683" s="28" t="n">
        <v>0</v>
      </c>
      <c r="K683" s="28" t="n">
        <v>0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1" t="n">
        <v>45590.547407407</v>
      </c>
      <c r="B684" s="22" t="s">
        <v>891</v>
      </c>
      <c r="C684" s="22" t="s">
        <v>1008</v>
      </c>
      <c r="D684" s="22" t="s">
        <v>891</v>
      </c>
      <c r="E684" s="22" t="s">
        <v>891</v>
      </c>
      <c r="F684" s="22" t="s">
        <v>20</v>
      </c>
      <c r="G684" s="23" t="n">
        <v>1</v>
      </c>
      <c r="H684" s="24" t="n">
        <v>1</v>
      </c>
      <c r="I684" s="24" t="n">
        <v>48.3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4"/>
      <c r="O684" s="22"/>
    </row>
    <row collapsed="false" customFormat="false" customHeight="false" hidden="false" ht="12.1" outlineLevel="0" r="685">
      <c r="A685" s="21" t="n">
        <v>45593.616828704</v>
      </c>
      <c r="B685" s="22" t="s">
        <v>891</v>
      </c>
      <c r="C685" s="22" t="s">
        <v>1035</v>
      </c>
      <c r="D685" s="22" t="s">
        <v>891</v>
      </c>
      <c r="E685" s="22" t="s">
        <v>891</v>
      </c>
      <c r="F685" s="22" t="s">
        <v>20</v>
      </c>
      <c r="G685" s="23" t="n">
        <v>1</v>
      </c>
      <c r="H685" s="24" t="n">
        <v>1</v>
      </c>
      <c r="I685" s="24" t="n">
        <v>16.6</v>
      </c>
      <c r="J685" s="24" t="n">
        <v>0</v>
      </c>
      <c r="K685" s="24" t="n">
        <v>0</v>
      </c>
      <c r="L685" s="24" t="n">
        <v>0</v>
      </c>
      <c r="M685" s="6" t="s">
        <f>=I685+J685+K685+L685</f>
      </c>
      <c r="N685" s="24"/>
      <c r="O685" s="22"/>
    </row>
    <row collapsed="false" customFormat="false" customHeight="false" hidden="false" ht="12.1" outlineLevel="0" r="686">
      <c r="A686" s="21" t="n">
        <v>45594.450590278</v>
      </c>
      <c r="B686" s="22" t="s">
        <v>891</v>
      </c>
      <c r="C686" s="22" t="s">
        <v>1079</v>
      </c>
      <c r="D686" s="22" t="s">
        <v>891</v>
      </c>
      <c r="E686" s="22" t="s">
        <v>891</v>
      </c>
      <c r="F686" s="22" t="s">
        <v>20</v>
      </c>
      <c r="G686" s="23" t="n">
        <v>1</v>
      </c>
      <c r="H686" s="24" t="n">
        <v>1</v>
      </c>
      <c r="I686" s="24" t="n">
        <v>11.18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1" t="n">
        <v>45594.658043981</v>
      </c>
      <c r="B687" s="22" t="s">
        <v>891</v>
      </c>
      <c r="C687" s="22" t="s">
        <v>916</v>
      </c>
      <c r="D687" s="22" t="s">
        <v>891</v>
      </c>
      <c r="E687" s="22" t="s">
        <v>891</v>
      </c>
      <c r="F687" s="22" t="s">
        <v>20</v>
      </c>
      <c r="G687" s="23" t="n">
        <v>1</v>
      </c>
      <c r="H687" s="24" t="n">
        <v>1</v>
      </c>
      <c r="I687" s="24" t="n">
        <v>35.5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4"/>
      <c r="O687" s="22"/>
    </row>
    <row collapsed="false" customFormat="false" customHeight="false" hidden="false" ht="12.1" outlineLevel="0" r="688">
      <c r="A688" s="25" t="n">
        <v>45594.658043981</v>
      </c>
      <c r="B688" s="26" t="s">
        <v>917</v>
      </c>
      <c r="C688" s="26" t="s">
        <v>918</v>
      </c>
      <c r="D688" s="26" t="s">
        <v>917</v>
      </c>
      <c r="E688" s="26" t="s">
        <v>917</v>
      </c>
      <c r="F688" s="26" t="s">
        <v>20</v>
      </c>
      <c r="G688" s="27" t="n">
        <v>1</v>
      </c>
      <c r="H688" s="28" t="n">
        <v>-5</v>
      </c>
      <c r="I688" s="28" t="n">
        <v>-5</v>
      </c>
      <c r="J688" s="28" t="n">
        <v>0</v>
      </c>
      <c r="K688" s="28" t="n">
        <v>0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1" t="n">
        <v>45595.433518519</v>
      </c>
      <c r="B689" s="22" t="s">
        <v>891</v>
      </c>
      <c r="C689" s="22" t="s">
        <v>1002</v>
      </c>
      <c r="D689" s="22" t="s">
        <v>891</v>
      </c>
      <c r="E689" s="22" t="s">
        <v>891</v>
      </c>
      <c r="F689" s="22" t="s">
        <v>20</v>
      </c>
      <c r="G689" s="23" t="n">
        <v>1</v>
      </c>
      <c r="H689" s="24" t="n">
        <v>1</v>
      </c>
      <c r="I689" s="24" t="n">
        <v>33.7</v>
      </c>
      <c r="J689" s="24" t="n">
        <v>0</v>
      </c>
      <c r="K689" s="24" t="n">
        <v>0</v>
      </c>
      <c r="L689" s="24" t="n">
        <v>0</v>
      </c>
      <c r="M689" s="6" t="s">
        <f>=I689+J689+K689+L689</f>
      </c>
      <c r="N689" s="24"/>
      <c r="O689" s="22"/>
    </row>
    <row collapsed="false" customFormat="false" customHeight="false" hidden="false" ht="12.1" outlineLevel="0" r="690">
      <c r="A690" s="21" t="n">
        <v>45595.528634259</v>
      </c>
      <c r="B690" s="22" t="s">
        <v>891</v>
      </c>
      <c r="C690" s="22" t="s">
        <v>1047</v>
      </c>
      <c r="D690" s="22" t="s">
        <v>891</v>
      </c>
      <c r="E690" s="22" t="s">
        <v>891</v>
      </c>
      <c r="F690" s="22" t="s">
        <v>20</v>
      </c>
      <c r="G690" s="23" t="n">
        <v>1</v>
      </c>
      <c r="H690" s="24" t="n">
        <v>1</v>
      </c>
      <c r="I690" s="24" t="n">
        <v>74.82</v>
      </c>
      <c r="J690" s="24" t="n">
        <v>0</v>
      </c>
      <c r="K690" s="24" t="n">
        <v>0</v>
      </c>
      <c r="L690" s="24" t="n">
        <v>0</v>
      </c>
      <c r="M690" s="6" t="s">
        <f>=I690+J690+K690+L690</f>
      </c>
      <c r="N690" s="24"/>
      <c r="O690" s="22"/>
    </row>
    <row collapsed="false" customFormat="false" customHeight="false" hidden="false" ht="12.1" outlineLevel="0" r="691">
      <c r="A691" s="25" t="n">
        <v>45595.528634259</v>
      </c>
      <c r="B691" s="26" t="s">
        <v>917</v>
      </c>
      <c r="C691" s="26" t="s">
        <v>1048</v>
      </c>
      <c r="D691" s="26" t="s">
        <v>917</v>
      </c>
      <c r="E691" s="26" t="s">
        <v>917</v>
      </c>
      <c r="F691" s="26" t="s">
        <v>20</v>
      </c>
      <c r="G691" s="27" t="n">
        <v>1</v>
      </c>
      <c r="H691" s="28" t="n">
        <v>-9</v>
      </c>
      <c r="I691" s="28" t="n">
        <v>-9</v>
      </c>
      <c r="J691" s="28" t="n">
        <v>0</v>
      </c>
      <c r="K691" s="28" t="n">
        <v>0</v>
      </c>
      <c r="L691" s="28" t="n">
        <v>0</v>
      </c>
      <c r="M691" s="6" t="s">
        <f>=I691+J691+K691+L691</f>
      </c>
      <c r="N691" s="28"/>
      <c r="O691" s="26"/>
    </row>
    <row collapsed="false" customFormat="false" customHeight="false" hidden="false" ht="12.1" outlineLevel="0" r="692">
      <c r="A692" s="21" t="n">
        <v>45595.753321759</v>
      </c>
      <c r="B692" s="22" t="s">
        <v>891</v>
      </c>
      <c r="C692" s="22" t="s">
        <v>1063</v>
      </c>
      <c r="D692" s="22" t="s">
        <v>891</v>
      </c>
      <c r="E692" s="22" t="s">
        <v>891</v>
      </c>
      <c r="F692" s="22" t="s">
        <v>20</v>
      </c>
      <c r="G692" s="23" t="n">
        <v>1</v>
      </c>
      <c r="H692" s="24" t="n">
        <v>1</v>
      </c>
      <c r="I692" s="24" t="n">
        <v>33.04</v>
      </c>
      <c r="J692" s="24" t="n">
        <v>0</v>
      </c>
      <c r="K692" s="24" t="n">
        <v>0</v>
      </c>
      <c r="L692" s="24" t="n">
        <v>0</v>
      </c>
      <c r="M692" s="6" t="s">
        <f>=I692+J692+K692+L692</f>
      </c>
      <c r="N692" s="24"/>
      <c r="O692" s="22"/>
    </row>
    <row collapsed="false" customFormat="false" customHeight="false" hidden="false" ht="12.1" outlineLevel="0" r="693">
      <c r="A693" s="21" t="n">
        <v>45596.568043981</v>
      </c>
      <c r="B693" s="22" t="s">
        <v>891</v>
      </c>
      <c r="C693" s="22" t="s">
        <v>1064</v>
      </c>
      <c r="D693" s="22" t="s">
        <v>891</v>
      </c>
      <c r="E693" s="22" t="s">
        <v>891</v>
      </c>
      <c r="F693" s="22" t="s">
        <v>20</v>
      </c>
      <c r="G693" s="23" t="n">
        <v>1</v>
      </c>
      <c r="H693" s="24" t="n">
        <v>1</v>
      </c>
      <c r="I693" s="24" t="n">
        <v>58.34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45596.657222222</v>
      </c>
      <c r="B694" s="22" t="s">
        <v>891</v>
      </c>
      <c r="C694" s="22" t="s">
        <v>945</v>
      </c>
      <c r="D694" s="22" t="s">
        <v>891</v>
      </c>
      <c r="E694" s="22" t="s">
        <v>891</v>
      </c>
      <c r="F694" s="22" t="s">
        <v>20</v>
      </c>
      <c r="G694" s="23" t="n">
        <v>1</v>
      </c>
      <c r="H694" s="24" t="n">
        <v>1</v>
      </c>
      <c r="I694" s="24" t="n">
        <v>28.22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45596.703842593</v>
      </c>
      <c r="B695" s="22" t="s">
        <v>891</v>
      </c>
      <c r="C695" s="22" t="s">
        <v>1009</v>
      </c>
      <c r="D695" s="22" t="s">
        <v>891</v>
      </c>
      <c r="E695" s="22" t="s">
        <v>891</v>
      </c>
      <c r="F695" s="22" t="s">
        <v>20</v>
      </c>
      <c r="G695" s="23" t="n">
        <v>1</v>
      </c>
      <c r="H695" s="24" t="n">
        <v>1</v>
      </c>
      <c r="I695" s="24" t="n">
        <v>44.89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1" t="n">
        <v>45597.599108796</v>
      </c>
      <c r="B696" s="22" t="s">
        <v>891</v>
      </c>
      <c r="C696" s="22" t="s">
        <v>929</v>
      </c>
      <c r="D696" s="22" t="s">
        <v>891</v>
      </c>
      <c r="E696" s="22" t="s">
        <v>891</v>
      </c>
      <c r="F696" s="22" t="s">
        <v>20</v>
      </c>
      <c r="G696" s="23" t="n">
        <v>1</v>
      </c>
      <c r="H696" s="24" t="n">
        <v>1</v>
      </c>
      <c r="I696" s="24" t="n">
        <v>42.38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4"/>
      <c r="O696" s="22"/>
    </row>
    <row collapsed="false" customFormat="false" customHeight="false" hidden="false" ht="12.1" outlineLevel="0" r="697">
      <c r="A697" s="21" t="n">
        <v>45597.648206019</v>
      </c>
      <c r="B697" s="22" t="s">
        <v>884</v>
      </c>
      <c r="C697" s="22" t="s">
        <v>336</v>
      </c>
      <c r="D697" s="22" t="s">
        <v>884</v>
      </c>
      <c r="E697" s="22" t="s">
        <v>884</v>
      </c>
      <c r="F697" s="22" t="s">
        <v>20</v>
      </c>
      <c r="G697" s="23" t="n">
        <v>1</v>
      </c>
      <c r="H697" s="24" t="n">
        <v>1</v>
      </c>
      <c r="I697" s="24" t="n">
        <v>5000</v>
      </c>
      <c r="J697" s="24" t="n">
        <v>0</v>
      </c>
      <c r="K697" s="24" t="n">
        <v>0</v>
      </c>
      <c r="L697" s="24" t="n">
        <v>0</v>
      </c>
      <c r="M697" s="6" t="s">
        <f>=I697+J697+K697+L697</f>
      </c>
      <c r="N697" s="24"/>
      <c r="O697" s="22"/>
    </row>
    <row collapsed="false" customFormat="false" customHeight="false" hidden="false" ht="12.1" outlineLevel="0" r="698">
      <c r="A698" s="21" t="n">
        <v>45597.652465278</v>
      </c>
      <c r="B698" s="22" t="s">
        <v>884</v>
      </c>
      <c r="C698" s="22" t="s">
        <v>336</v>
      </c>
      <c r="D698" s="22" t="s">
        <v>884</v>
      </c>
      <c r="E698" s="22" t="s">
        <v>884</v>
      </c>
      <c r="F698" s="22" t="s">
        <v>20</v>
      </c>
      <c r="G698" s="23" t="n">
        <v>1</v>
      </c>
      <c r="H698" s="24" t="n">
        <v>1</v>
      </c>
      <c r="I698" s="24" t="n">
        <v>6200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4"/>
      <c r="O698" s="22"/>
    </row>
    <row collapsed="false" customFormat="false" customHeight="false" hidden="false" ht="12.1" outlineLevel="0" r="699">
      <c r="A699" s="20" t="n">
        <v>45597.654872685</v>
      </c>
      <c r="B699" s="2" t="s">
        <v>17</v>
      </c>
      <c r="C699" s="2" t="s">
        <v>940</v>
      </c>
      <c r="D699" s="2" t="s">
        <v>757</v>
      </c>
      <c r="E699" s="2" t="s">
        <v>18</v>
      </c>
      <c r="F699" s="2" t="s">
        <v>20</v>
      </c>
      <c r="G699" s="7" t="n">
        <v>30</v>
      </c>
      <c r="H699" s="6" t="n">
        <v>235.05</v>
      </c>
      <c r="I699" s="6" t="n">
        <v>-7051.5</v>
      </c>
      <c r="J699" s="6" t="n">
        <v>0</v>
      </c>
      <c r="K699" s="6" t="n">
        <v>-21.15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45597.65525463</v>
      </c>
      <c r="B700" s="2" t="s">
        <v>46</v>
      </c>
      <c r="C700" s="2" t="s">
        <v>905</v>
      </c>
      <c r="D700" s="2" t="s">
        <v>757</v>
      </c>
      <c r="E700" s="2" t="s">
        <v>18</v>
      </c>
      <c r="F700" s="2" t="s">
        <v>20</v>
      </c>
      <c r="G700" s="7" t="n">
        <v>100</v>
      </c>
      <c r="H700" s="6" t="n">
        <v>3.798</v>
      </c>
      <c r="I700" s="6" t="n">
        <v>-379.8</v>
      </c>
      <c r="J700" s="6" t="n">
        <v>0</v>
      </c>
      <c r="K700" s="6" t="n">
        <v>-1.14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45597.655706019</v>
      </c>
      <c r="B701" s="2" t="s">
        <v>52</v>
      </c>
      <c r="C701" s="2" t="s">
        <v>1005</v>
      </c>
      <c r="D701" s="2" t="s">
        <v>757</v>
      </c>
      <c r="E701" s="2" t="s">
        <v>18</v>
      </c>
      <c r="F701" s="2" t="s">
        <v>20</v>
      </c>
      <c r="G701" s="7" t="n">
        <v>10</v>
      </c>
      <c r="H701" s="6" t="n">
        <v>183.15</v>
      </c>
      <c r="I701" s="6" t="n">
        <v>-1831.5</v>
      </c>
      <c r="J701" s="6" t="n">
        <v>0</v>
      </c>
      <c r="K701" s="6" t="n">
        <v>-5.49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45597.656006944</v>
      </c>
      <c r="B702" s="2" t="s">
        <v>68</v>
      </c>
      <c r="C702" s="2" t="s">
        <v>915</v>
      </c>
      <c r="D702" s="2" t="s">
        <v>757</v>
      </c>
      <c r="E702" s="2" t="s">
        <v>18</v>
      </c>
      <c r="F702" s="2" t="s">
        <v>20</v>
      </c>
      <c r="G702" s="7" t="n">
        <v>100</v>
      </c>
      <c r="H702" s="6" t="n">
        <v>5.852</v>
      </c>
      <c r="I702" s="6" t="n">
        <v>-585.2</v>
      </c>
      <c r="J702" s="6" t="n">
        <v>0</v>
      </c>
      <c r="K702" s="6" t="n">
        <v>-1.76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45597.657233796</v>
      </c>
      <c r="B703" s="2" t="s">
        <v>66</v>
      </c>
      <c r="C703" s="2" t="s">
        <v>1085</v>
      </c>
      <c r="D703" s="2" t="s">
        <v>757</v>
      </c>
      <c r="E703" s="2" t="s">
        <v>18</v>
      </c>
      <c r="F703" s="2" t="s">
        <v>20</v>
      </c>
      <c r="G703" s="7" t="n">
        <v>10</v>
      </c>
      <c r="H703" s="6" t="n">
        <v>283.8</v>
      </c>
      <c r="I703" s="6" t="n">
        <v>-2838</v>
      </c>
      <c r="J703" s="6" t="n">
        <v>0</v>
      </c>
      <c r="K703" s="6" t="n">
        <v>-8.51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45597.657835648</v>
      </c>
      <c r="B704" s="2" t="s">
        <v>31</v>
      </c>
      <c r="C704" s="2" t="s">
        <v>906</v>
      </c>
      <c r="D704" s="2" t="s">
        <v>757</v>
      </c>
      <c r="E704" s="2" t="s">
        <v>18</v>
      </c>
      <c r="F704" s="2" t="s">
        <v>20</v>
      </c>
      <c r="G704" s="7" t="n">
        <v>10</v>
      </c>
      <c r="H704" s="6" t="n">
        <v>123.3</v>
      </c>
      <c r="I704" s="6" t="n">
        <v>-1233</v>
      </c>
      <c r="J704" s="6" t="n">
        <v>0</v>
      </c>
      <c r="K704" s="6" t="n">
        <v>-3.7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45597.658194444</v>
      </c>
      <c r="B705" s="2" t="s">
        <v>34</v>
      </c>
      <c r="C705" s="2" t="s">
        <v>907</v>
      </c>
      <c r="D705" s="2" t="s">
        <v>757</v>
      </c>
      <c r="E705" s="2" t="s">
        <v>18</v>
      </c>
      <c r="F705" s="2" t="s">
        <v>20</v>
      </c>
      <c r="G705" s="7" t="n">
        <v>1</v>
      </c>
      <c r="H705" s="6" t="n">
        <v>538.9</v>
      </c>
      <c r="I705" s="6" t="n">
        <v>-538.9</v>
      </c>
      <c r="J705" s="6" t="n">
        <v>0</v>
      </c>
      <c r="K705" s="6" t="n">
        <v>-1.62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9" t="n">
        <v>45597.959027778</v>
      </c>
      <c r="B706" s="30" t="s">
        <v>763</v>
      </c>
      <c r="C706" s="30" t="s">
        <v>896</v>
      </c>
      <c r="D706" s="30" t="s">
        <v>770</v>
      </c>
      <c r="E706" s="30" t="s">
        <v>18</v>
      </c>
      <c r="F706" s="30" t="s">
        <v>20</v>
      </c>
      <c r="G706" s="31" t="n">
        <v>-2</v>
      </c>
      <c r="H706" s="32" t="n">
        <v>520</v>
      </c>
      <c r="I706" s="32" t="n">
        <v>1040</v>
      </c>
      <c r="J706" s="32" t="n">
        <v>0</v>
      </c>
      <c r="K706" s="32" t="n">
        <v>0</v>
      </c>
      <c r="L706" s="32" t="n">
        <v>0</v>
      </c>
      <c r="M706" s="6" t="s">
        <f>=I706+J706+K706+L706</f>
      </c>
      <c r="N706" s="32"/>
      <c r="O706" s="30"/>
    </row>
    <row collapsed="false" customFormat="false" customHeight="false" hidden="false" ht="12.1" outlineLevel="0" r="707">
      <c r="A707" s="21" t="n">
        <v>45598.562025463</v>
      </c>
      <c r="B707" s="22" t="s">
        <v>891</v>
      </c>
      <c r="C707" s="22" t="s">
        <v>1086</v>
      </c>
      <c r="D707" s="22" t="s">
        <v>891</v>
      </c>
      <c r="E707" s="22" t="s">
        <v>891</v>
      </c>
      <c r="F707" s="22" t="s">
        <v>20</v>
      </c>
      <c r="G707" s="23" t="n">
        <v>1</v>
      </c>
      <c r="H707" s="24" t="n">
        <v>1</v>
      </c>
      <c r="I707" s="24" t="n">
        <v>23.86</v>
      </c>
      <c r="J707" s="24" t="n">
        <v>0</v>
      </c>
      <c r="K707" s="24" t="n">
        <v>0</v>
      </c>
      <c r="L707" s="24" t="n">
        <v>0</v>
      </c>
      <c r="M707" s="6" t="s">
        <f>=I707+J707+K707+L707</f>
      </c>
      <c r="N707" s="24"/>
      <c r="O707" s="22"/>
    </row>
    <row collapsed="false" customFormat="false" customHeight="false" hidden="false" ht="12.1" outlineLevel="0" r="708">
      <c r="A708" s="21" t="n">
        <v>45598.622881944</v>
      </c>
      <c r="B708" s="22" t="s">
        <v>891</v>
      </c>
      <c r="C708" s="22" t="s">
        <v>1087</v>
      </c>
      <c r="D708" s="22" t="s">
        <v>891</v>
      </c>
      <c r="E708" s="22" t="s">
        <v>891</v>
      </c>
      <c r="F708" s="22" t="s">
        <v>20</v>
      </c>
      <c r="G708" s="23" t="n">
        <v>1</v>
      </c>
      <c r="H708" s="24" t="n">
        <v>1</v>
      </c>
      <c r="I708" s="24" t="n">
        <v>24.9</v>
      </c>
      <c r="J708" s="24" t="n">
        <v>0</v>
      </c>
      <c r="K708" s="24" t="n">
        <v>0</v>
      </c>
      <c r="L708" s="24" t="n">
        <v>0</v>
      </c>
      <c r="M708" s="6" t="s">
        <f>=I708+J708+K708+L708</f>
      </c>
      <c r="N708" s="24"/>
      <c r="O708" s="22"/>
    </row>
    <row collapsed="false" customFormat="false" customHeight="false" hidden="false" ht="12.1" outlineLevel="0" r="709">
      <c r="A709" s="25" t="n">
        <v>45598.622881944</v>
      </c>
      <c r="B709" s="26" t="s">
        <v>917</v>
      </c>
      <c r="C709" s="26" t="s">
        <v>1088</v>
      </c>
      <c r="D709" s="26" t="s">
        <v>917</v>
      </c>
      <c r="E709" s="26" t="s">
        <v>917</v>
      </c>
      <c r="F709" s="26" t="s">
        <v>20</v>
      </c>
      <c r="G709" s="27" t="n">
        <v>1</v>
      </c>
      <c r="H709" s="28" t="n">
        <v>-4</v>
      </c>
      <c r="I709" s="28" t="n">
        <v>-4</v>
      </c>
      <c r="J709" s="28" t="n">
        <v>0</v>
      </c>
      <c r="K709" s="28" t="n">
        <v>0</v>
      </c>
      <c r="L709" s="28" t="n">
        <v>0</v>
      </c>
      <c r="M709" s="6" t="s">
        <f>=I709+J709+K709+L709</f>
      </c>
      <c r="N709" s="28"/>
      <c r="O709" s="26"/>
    </row>
    <row collapsed="false" customFormat="false" customHeight="false" hidden="false" ht="12.1" outlineLevel="0" r="710">
      <c r="A710" s="21" t="n">
        <v>45610.465219907</v>
      </c>
      <c r="B710" s="22" t="s">
        <v>891</v>
      </c>
      <c r="C710" s="22" t="s">
        <v>930</v>
      </c>
      <c r="D710" s="22" t="s">
        <v>891</v>
      </c>
      <c r="E710" s="22" t="s">
        <v>891</v>
      </c>
      <c r="F710" s="22" t="s">
        <v>20</v>
      </c>
      <c r="G710" s="23" t="n">
        <v>1</v>
      </c>
      <c r="H710" s="24" t="n">
        <v>1</v>
      </c>
      <c r="I710" s="24" t="n">
        <v>594.79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2"/>
    </row>
    <row collapsed="false" customFormat="false" customHeight="false" hidden="false" ht="12.1" outlineLevel="0" r="711">
      <c r="A711" s="21" t="n">
        <v>45610.596493056</v>
      </c>
      <c r="B711" s="22" t="s">
        <v>891</v>
      </c>
      <c r="C711" s="22" t="s">
        <v>1042</v>
      </c>
      <c r="D711" s="22" t="s">
        <v>891</v>
      </c>
      <c r="E711" s="22" t="s">
        <v>891</v>
      </c>
      <c r="F711" s="22" t="s">
        <v>20</v>
      </c>
      <c r="G711" s="23" t="n">
        <v>1</v>
      </c>
      <c r="H711" s="24" t="n">
        <v>1</v>
      </c>
      <c r="I711" s="24" t="n">
        <v>4.67</v>
      </c>
      <c r="J711" s="24" t="n">
        <v>0</v>
      </c>
      <c r="K711" s="24" t="n">
        <v>0</v>
      </c>
      <c r="L711" s="24" t="n">
        <v>0</v>
      </c>
      <c r="M711" s="6" t="s">
        <f>=I711+J711+K711+L711</f>
      </c>
      <c r="N711" s="24"/>
      <c r="O711" s="22"/>
    </row>
    <row collapsed="false" customFormat="false" customHeight="false" hidden="false" ht="12.1" outlineLevel="0" r="712">
      <c r="A712" s="21" t="n">
        <v>45615.399259259</v>
      </c>
      <c r="B712" s="22" t="s">
        <v>891</v>
      </c>
      <c r="C712" s="22" t="s">
        <v>965</v>
      </c>
      <c r="D712" s="22" t="s">
        <v>891</v>
      </c>
      <c r="E712" s="22" t="s">
        <v>891</v>
      </c>
      <c r="F712" s="22" t="s">
        <v>20</v>
      </c>
      <c r="G712" s="23" t="n">
        <v>1</v>
      </c>
      <c r="H712" s="24" t="n">
        <v>1</v>
      </c>
      <c r="I712" s="24" t="n">
        <v>42.14</v>
      </c>
      <c r="J712" s="24" t="n">
        <v>0</v>
      </c>
      <c r="K712" s="24" t="n">
        <v>0</v>
      </c>
      <c r="L712" s="24" t="n">
        <v>0</v>
      </c>
      <c r="M712" s="6" t="s">
        <f>=I712+J712+K712+L712</f>
      </c>
      <c r="N712" s="24"/>
      <c r="O712" s="22"/>
    </row>
    <row collapsed="false" customFormat="false" customHeight="false" hidden="false" ht="12.1" outlineLevel="0" r="713">
      <c r="A713" s="21" t="n">
        <v>45615.403993056</v>
      </c>
      <c r="B713" s="22" t="s">
        <v>901</v>
      </c>
      <c r="C713" s="22" t="s">
        <v>1043</v>
      </c>
      <c r="D713" s="22" t="s">
        <v>901</v>
      </c>
      <c r="E713" s="22" t="s">
        <v>901</v>
      </c>
      <c r="F713" s="22" t="s">
        <v>20</v>
      </c>
      <c r="G713" s="23" t="n">
        <v>1</v>
      </c>
      <c r="H713" s="24" t="n">
        <v>1</v>
      </c>
      <c r="I713" s="24" t="n">
        <v>500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4"/>
      <c r="O713" s="22"/>
    </row>
    <row collapsed="false" customFormat="false" customHeight="false" hidden="false" ht="12.1" outlineLevel="0" r="714">
      <c r="A714" s="21" t="n">
        <v>45617.464398148</v>
      </c>
      <c r="B714" s="22" t="s">
        <v>891</v>
      </c>
      <c r="C714" s="22" t="s">
        <v>932</v>
      </c>
      <c r="D714" s="22" t="s">
        <v>891</v>
      </c>
      <c r="E714" s="22" t="s">
        <v>891</v>
      </c>
      <c r="F714" s="22" t="s">
        <v>20</v>
      </c>
      <c r="G714" s="23" t="n">
        <v>1</v>
      </c>
      <c r="H714" s="24" t="n">
        <v>1</v>
      </c>
      <c r="I714" s="24" t="n">
        <v>325.35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2"/>
    </row>
    <row collapsed="false" customFormat="false" customHeight="false" hidden="false" ht="12.1" outlineLevel="0" r="715">
      <c r="A715" s="21" t="n">
        <v>45617.679490741</v>
      </c>
      <c r="B715" s="22" t="s">
        <v>891</v>
      </c>
      <c r="C715" s="22" t="s">
        <v>1011</v>
      </c>
      <c r="D715" s="22" t="s">
        <v>891</v>
      </c>
      <c r="E715" s="22" t="s">
        <v>891</v>
      </c>
      <c r="F715" s="22" t="s">
        <v>20</v>
      </c>
      <c r="G715" s="23" t="n">
        <v>1</v>
      </c>
      <c r="H715" s="24" t="n">
        <v>1</v>
      </c>
      <c r="I715" s="24" t="n">
        <v>84.9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4"/>
      <c r="O715" s="22"/>
    </row>
    <row collapsed="false" customFormat="false" customHeight="false" hidden="false" ht="12.1" outlineLevel="0" r="716">
      <c r="A716" s="21" t="n">
        <v>45618.532418981</v>
      </c>
      <c r="B716" s="22" t="s">
        <v>891</v>
      </c>
      <c r="C716" s="22" t="s">
        <v>970</v>
      </c>
      <c r="D716" s="22" t="s">
        <v>891</v>
      </c>
      <c r="E716" s="22" t="s">
        <v>891</v>
      </c>
      <c r="F716" s="22" t="s">
        <v>20</v>
      </c>
      <c r="G716" s="23" t="n">
        <v>1</v>
      </c>
      <c r="H716" s="24" t="n">
        <v>1</v>
      </c>
      <c r="I716" s="24" t="n">
        <v>8.66</v>
      </c>
      <c r="J716" s="24" t="n">
        <v>0</v>
      </c>
      <c r="K716" s="24" t="n">
        <v>0</v>
      </c>
      <c r="L716" s="24" t="n">
        <v>0</v>
      </c>
      <c r="M716" s="6" t="s">
        <f>=I716+J716+K716+L716</f>
      </c>
      <c r="N716" s="24"/>
      <c r="O716" s="22"/>
    </row>
    <row collapsed="false" customFormat="false" customHeight="false" hidden="false" ht="12.1" outlineLevel="0" r="717">
      <c r="A717" s="21" t="n">
        <v>45623.624259259</v>
      </c>
      <c r="B717" s="22" t="s">
        <v>891</v>
      </c>
      <c r="C717" s="22" t="s">
        <v>1079</v>
      </c>
      <c r="D717" s="22" t="s">
        <v>891</v>
      </c>
      <c r="E717" s="22" t="s">
        <v>891</v>
      </c>
      <c r="F717" s="22" t="s">
        <v>20</v>
      </c>
      <c r="G717" s="23" t="n">
        <v>1</v>
      </c>
      <c r="H717" s="24" t="n">
        <v>1</v>
      </c>
      <c r="I717" s="24" t="n">
        <v>11.18</v>
      </c>
      <c r="J717" s="24" t="n">
        <v>0</v>
      </c>
      <c r="K717" s="24" t="n">
        <v>0</v>
      </c>
      <c r="L717" s="24" t="n">
        <v>0</v>
      </c>
      <c r="M717" s="6" t="s">
        <f>=I717+J717+K717+L717</f>
      </c>
      <c r="N717" s="24"/>
      <c r="O717" s="22"/>
    </row>
    <row collapsed="false" customFormat="false" customHeight="false" hidden="false" ht="12.1" outlineLevel="0" r="718">
      <c r="A718" s="21" t="n">
        <v>45623.655358796</v>
      </c>
      <c r="B718" s="22" t="s">
        <v>891</v>
      </c>
      <c r="C718" s="22" t="s">
        <v>1035</v>
      </c>
      <c r="D718" s="22" t="s">
        <v>891</v>
      </c>
      <c r="E718" s="22" t="s">
        <v>891</v>
      </c>
      <c r="F718" s="22" t="s">
        <v>20</v>
      </c>
      <c r="G718" s="23" t="n">
        <v>1</v>
      </c>
      <c r="H718" s="24" t="n">
        <v>1</v>
      </c>
      <c r="I718" s="24" t="n">
        <v>16.79</v>
      </c>
      <c r="J718" s="24" t="n">
        <v>0</v>
      </c>
      <c r="K718" s="24" t="n">
        <v>0</v>
      </c>
      <c r="L718" s="24" t="n">
        <v>0</v>
      </c>
      <c r="M718" s="6" t="s">
        <f>=I718+J718+K718+L718</f>
      </c>
      <c r="N718" s="24"/>
      <c r="O718" s="22"/>
    </row>
    <row collapsed="false" customFormat="false" customHeight="false" hidden="false" ht="12.1" outlineLevel="0" r="719">
      <c r="A719" s="21" t="n">
        <v>45623.709236111</v>
      </c>
      <c r="B719" s="22" t="s">
        <v>891</v>
      </c>
      <c r="C719" s="22" t="s">
        <v>1089</v>
      </c>
      <c r="D719" s="22" t="s">
        <v>891</v>
      </c>
      <c r="E719" s="22" t="s">
        <v>891</v>
      </c>
      <c r="F719" s="22" t="s">
        <v>20</v>
      </c>
      <c r="G719" s="23" t="n">
        <v>1</v>
      </c>
      <c r="H719" s="24" t="n">
        <v>1</v>
      </c>
      <c r="I719" s="24" t="n">
        <v>24.93</v>
      </c>
      <c r="J719" s="24" t="n">
        <v>0</v>
      </c>
      <c r="K719" s="24" t="n">
        <v>0</v>
      </c>
      <c r="L719" s="24" t="n">
        <v>0</v>
      </c>
      <c r="M719" s="6" t="s">
        <f>=I719+J719+K719+L719</f>
      </c>
      <c r="N719" s="24"/>
      <c r="O719" s="22"/>
    </row>
    <row collapsed="false" customFormat="false" customHeight="false" hidden="false" ht="12.1" outlineLevel="0" r="720">
      <c r="A720" s="21" t="n">
        <v>45623.788715278</v>
      </c>
      <c r="B720" s="22" t="s">
        <v>891</v>
      </c>
      <c r="C720" s="22" t="s">
        <v>1063</v>
      </c>
      <c r="D720" s="22" t="s">
        <v>891</v>
      </c>
      <c r="E720" s="22" t="s">
        <v>891</v>
      </c>
      <c r="F720" s="22" t="s">
        <v>20</v>
      </c>
      <c r="G720" s="23" t="n">
        <v>1</v>
      </c>
      <c r="H720" s="24" t="n">
        <v>1</v>
      </c>
      <c r="I720" s="24" t="n">
        <v>33.04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4"/>
      <c r="O720" s="22"/>
    </row>
    <row collapsed="false" customFormat="false" customHeight="false" hidden="false" ht="12.1" outlineLevel="0" r="721">
      <c r="A721" s="21" t="n">
        <v>45624.406759259</v>
      </c>
      <c r="B721" s="22" t="s">
        <v>891</v>
      </c>
      <c r="C721" s="22" t="s">
        <v>1044</v>
      </c>
      <c r="D721" s="22" t="s">
        <v>891</v>
      </c>
      <c r="E721" s="22" t="s">
        <v>891</v>
      </c>
      <c r="F721" s="22" t="s">
        <v>20</v>
      </c>
      <c r="G721" s="23" t="n">
        <v>1</v>
      </c>
      <c r="H721" s="24" t="n">
        <v>1</v>
      </c>
      <c r="I721" s="24" t="n">
        <v>426.33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4"/>
      <c r="O721" s="22"/>
    </row>
    <row collapsed="false" customFormat="false" customHeight="false" hidden="false" ht="12.1" outlineLevel="0" r="722">
      <c r="A722" s="21" t="n">
        <v>45624.431863426</v>
      </c>
      <c r="B722" s="22" t="s">
        <v>891</v>
      </c>
      <c r="C722" s="22" t="s">
        <v>1090</v>
      </c>
      <c r="D722" s="22" t="s">
        <v>891</v>
      </c>
      <c r="E722" s="22" t="s">
        <v>891</v>
      </c>
      <c r="F722" s="22" t="s">
        <v>20</v>
      </c>
      <c r="G722" s="23" t="n">
        <v>1</v>
      </c>
      <c r="H722" s="24" t="n">
        <v>1</v>
      </c>
      <c r="I722" s="24" t="n">
        <v>65.78</v>
      </c>
      <c r="J722" s="24" t="n">
        <v>0</v>
      </c>
      <c r="K722" s="24" t="n">
        <v>0</v>
      </c>
      <c r="L722" s="24" t="n">
        <v>0</v>
      </c>
      <c r="M722" s="6" t="s">
        <f>=I722+J722+K722+L722</f>
      </c>
      <c r="N722" s="24"/>
      <c r="O722" s="22"/>
    </row>
    <row collapsed="false" customFormat="false" customHeight="false" hidden="false" ht="12.1" outlineLevel="0" r="723">
      <c r="A723" s="21" t="n">
        <v>45624.547453704</v>
      </c>
      <c r="B723" s="22" t="s">
        <v>891</v>
      </c>
      <c r="C723" s="22" t="s">
        <v>1002</v>
      </c>
      <c r="D723" s="22" t="s">
        <v>891</v>
      </c>
      <c r="E723" s="22" t="s">
        <v>891</v>
      </c>
      <c r="F723" s="22" t="s">
        <v>20</v>
      </c>
      <c r="G723" s="23" t="n">
        <v>1</v>
      </c>
      <c r="H723" s="24" t="n">
        <v>1</v>
      </c>
      <c r="I723" s="24" t="n">
        <v>33.96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2"/>
    </row>
    <row collapsed="false" customFormat="false" customHeight="false" hidden="false" ht="12.1" outlineLevel="0" r="724">
      <c r="A724" s="21" t="n">
        <v>45628.504849537</v>
      </c>
      <c r="B724" s="22" t="s">
        <v>891</v>
      </c>
      <c r="C724" s="22" t="s">
        <v>933</v>
      </c>
      <c r="D724" s="22" t="s">
        <v>891</v>
      </c>
      <c r="E724" s="22" t="s">
        <v>891</v>
      </c>
      <c r="F724" s="22" t="s">
        <v>20</v>
      </c>
      <c r="G724" s="23" t="n">
        <v>1</v>
      </c>
      <c r="H724" s="24" t="n">
        <v>1</v>
      </c>
      <c r="I724" s="24" t="n">
        <v>24.81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2"/>
    </row>
    <row collapsed="false" customFormat="false" customHeight="false" hidden="false" ht="12.1" outlineLevel="0" r="725">
      <c r="A725" s="21" t="n">
        <v>45629.628576389</v>
      </c>
      <c r="B725" s="22" t="s">
        <v>891</v>
      </c>
      <c r="C725" s="22" t="s">
        <v>1046</v>
      </c>
      <c r="D725" s="22" t="s">
        <v>891</v>
      </c>
      <c r="E725" s="22" t="s">
        <v>891</v>
      </c>
      <c r="F725" s="22" t="s">
        <v>20</v>
      </c>
      <c r="G725" s="23" t="n">
        <v>1</v>
      </c>
      <c r="H725" s="24" t="n">
        <v>1</v>
      </c>
      <c r="I725" s="24" t="n">
        <v>39.9</v>
      </c>
      <c r="J725" s="24" t="n">
        <v>0</v>
      </c>
      <c r="K725" s="24" t="n">
        <v>0</v>
      </c>
      <c r="L725" s="24" t="n">
        <v>0</v>
      </c>
      <c r="M725" s="6" t="s">
        <f>=I725+J725+K725+L725</f>
      </c>
      <c r="N725" s="24"/>
      <c r="O725" s="22"/>
    </row>
    <row collapsed="false" customFormat="false" customHeight="false" hidden="false" ht="12.1" outlineLevel="0" r="726">
      <c r="A726" s="21" t="n">
        <v>45630.519895833</v>
      </c>
      <c r="B726" s="22" t="s">
        <v>891</v>
      </c>
      <c r="C726" s="22" t="s">
        <v>1012</v>
      </c>
      <c r="D726" s="22" t="s">
        <v>891</v>
      </c>
      <c r="E726" s="22" t="s">
        <v>891</v>
      </c>
      <c r="F726" s="22" t="s">
        <v>20</v>
      </c>
      <c r="G726" s="23" t="n">
        <v>1</v>
      </c>
      <c r="H726" s="24" t="n">
        <v>1</v>
      </c>
      <c r="I726" s="24" t="n">
        <v>56.1</v>
      </c>
      <c r="J726" s="24" t="n">
        <v>0</v>
      </c>
      <c r="K726" s="24" t="n">
        <v>0</v>
      </c>
      <c r="L726" s="24" t="n">
        <v>0</v>
      </c>
      <c r="M726" s="6" t="s">
        <f>=I726+J726+K726+L726</f>
      </c>
      <c r="N726" s="24"/>
      <c r="O726" s="22"/>
    </row>
    <row collapsed="false" customFormat="false" customHeight="false" hidden="false" ht="12.1" outlineLevel="0" r="727">
      <c r="A727" s="21" t="n">
        <v>45630.521851852</v>
      </c>
      <c r="B727" s="22" t="s">
        <v>891</v>
      </c>
      <c r="C727" s="22" t="s">
        <v>1091</v>
      </c>
      <c r="D727" s="22" t="s">
        <v>891</v>
      </c>
      <c r="E727" s="22" t="s">
        <v>891</v>
      </c>
      <c r="F727" s="22" t="s">
        <v>20</v>
      </c>
      <c r="G727" s="23" t="n">
        <v>1</v>
      </c>
      <c r="H727" s="24" t="n">
        <v>1</v>
      </c>
      <c r="I727" s="24" t="n">
        <v>29.17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4"/>
      <c r="O727" s="22"/>
    </row>
    <row collapsed="false" customFormat="false" customHeight="false" hidden="false" ht="12.1" outlineLevel="0" r="728">
      <c r="A728" s="21" t="n">
        <v>45631.463472222</v>
      </c>
      <c r="B728" s="22" t="s">
        <v>891</v>
      </c>
      <c r="C728" s="22" t="s">
        <v>978</v>
      </c>
      <c r="D728" s="22" t="s">
        <v>891</v>
      </c>
      <c r="E728" s="22" t="s">
        <v>891</v>
      </c>
      <c r="F728" s="22" t="s">
        <v>20</v>
      </c>
      <c r="G728" s="23" t="n">
        <v>1</v>
      </c>
      <c r="H728" s="24" t="n">
        <v>1</v>
      </c>
      <c r="I728" s="24" t="n">
        <v>778.8</v>
      </c>
      <c r="J728" s="24" t="n">
        <v>0</v>
      </c>
      <c r="K728" s="24" t="n">
        <v>0</v>
      </c>
      <c r="L728" s="24" t="n">
        <v>0</v>
      </c>
      <c r="M728" s="6" t="s">
        <f>=I728+J728+K728+L728</f>
      </c>
      <c r="N728" s="24"/>
      <c r="O728" s="22"/>
    </row>
    <row collapsed="false" customFormat="false" customHeight="false" hidden="false" ht="12.1" outlineLevel="0" r="729">
      <c r="A729" s="21" t="n">
        <v>45631.48</v>
      </c>
      <c r="B729" s="22" t="s">
        <v>891</v>
      </c>
      <c r="C729" s="22" t="s">
        <v>1015</v>
      </c>
      <c r="D729" s="22" t="s">
        <v>891</v>
      </c>
      <c r="E729" s="22" t="s">
        <v>891</v>
      </c>
      <c r="F729" s="22" t="s">
        <v>20</v>
      </c>
      <c r="G729" s="23" t="n">
        <v>1</v>
      </c>
      <c r="H729" s="24" t="n">
        <v>1</v>
      </c>
      <c r="I729" s="24" t="n">
        <v>488.7</v>
      </c>
      <c r="J729" s="24" t="n">
        <v>0</v>
      </c>
      <c r="K729" s="24" t="n">
        <v>0</v>
      </c>
      <c r="L729" s="24" t="n">
        <v>0</v>
      </c>
      <c r="M729" s="6" t="s">
        <f>=I729+J729+K729+L729</f>
      </c>
      <c r="N729" s="24"/>
      <c r="O729" s="22"/>
    </row>
    <row collapsed="false" customFormat="false" customHeight="false" hidden="false" ht="12.1" outlineLevel="0" r="730">
      <c r="A730" s="21" t="n">
        <v>45631.500243056</v>
      </c>
      <c r="B730" s="22" t="s">
        <v>891</v>
      </c>
      <c r="C730" s="22" t="s">
        <v>1092</v>
      </c>
      <c r="D730" s="22" t="s">
        <v>891</v>
      </c>
      <c r="E730" s="22" t="s">
        <v>891</v>
      </c>
      <c r="F730" s="22" t="s">
        <v>20</v>
      </c>
      <c r="G730" s="23" t="n">
        <v>1</v>
      </c>
      <c r="H730" s="24" t="n">
        <v>1</v>
      </c>
      <c r="I730" s="24" t="n">
        <v>68.13</v>
      </c>
      <c r="J730" s="24" t="n">
        <v>0</v>
      </c>
      <c r="K730" s="24" t="n">
        <v>0</v>
      </c>
      <c r="L730" s="24" t="n">
        <v>0</v>
      </c>
      <c r="M730" s="6" t="s">
        <f>=I730+J730+K730+L730</f>
      </c>
      <c r="N730" s="24"/>
      <c r="O730" s="22"/>
    </row>
    <row collapsed="false" customFormat="false" customHeight="false" hidden="false" ht="12.1" outlineLevel="0" r="731">
      <c r="A731" s="21" t="n">
        <v>45631.577962963</v>
      </c>
      <c r="B731" s="22" t="s">
        <v>891</v>
      </c>
      <c r="C731" s="22" t="s">
        <v>1093</v>
      </c>
      <c r="D731" s="22" t="s">
        <v>891</v>
      </c>
      <c r="E731" s="22" t="s">
        <v>891</v>
      </c>
      <c r="F731" s="22" t="s">
        <v>20</v>
      </c>
      <c r="G731" s="23" t="n">
        <v>1</v>
      </c>
      <c r="H731" s="24" t="n">
        <v>1</v>
      </c>
      <c r="I731" s="24" t="n">
        <v>56.84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4"/>
      <c r="O731" s="22"/>
    </row>
    <row collapsed="false" customFormat="false" customHeight="false" hidden="false" ht="12.1" outlineLevel="0" r="732">
      <c r="A732" s="21" t="n">
        <v>45631.628101852</v>
      </c>
      <c r="B732" s="22" t="s">
        <v>891</v>
      </c>
      <c r="C732" s="22" t="s">
        <v>977</v>
      </c>
      <c r="D732" s="22" t="s">
        <v>891</v>
      </c>
      <c r="E732" s="22" t="s">
        <v>891</v>
      </c>
      <c r="F732" s="22" t="s">
        <v>20</v>
      </c>
      <c r="G732" s="23" t="n">
        <v>1</v>
      </c>
      <c r="H732" s="24" t="n">
        <v>1</v>
      </c>
      <c r="I732" s="24" t="n">
        <v>65.32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45631.684201389</v>
      </c>
      <c r="B733" s="22" t="s">
        <v>891</v>
      </c>
      <c r="C733" s="22" t="s">
        <v>1094</v>
      </c>
      <c r="D733" s="22" t="s">
        <v>891</v>
      </c>
      <c r="E733" s="22" t="s">
        <v>891</v>
      </c>
      <c r="F733" s="22" t="s">
        <v>20</v>
      </c>
      <c r="G733" s="23" t="n">
        <v>1</v>
      </c>
      <c r="H733" s="24" t="n">
        <v>1</v>
      </c>
      <c r="I733" s="24" t="n">
        <v>19.55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1" t="n">
        <v>45631.688402778</v>
      </c>
      <c r="B734" s="22" t="s">
        <v>891</v>
      </c>
      <c r="C734" s="22" t="s">
        <v>934</v>
      </c>
      <c r="D734" s="22" t="s">
        <v>891</v>
      </c>
      <c r="E734" s="22" t="s">
        <v>891</v>
      </c>
      <c r="F734" s="22" t="s">
        <v>20</v>
      </c>
      <c r="G734" s="23" t="n">
        <v>1</v>
      </c>
      <c r="H734" s="24" t="n">
        <v>1</v>
      </c>
      <c r="I734" s="24" t="n">
        <v>19.87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4"/>
      <c r="O734" s="22"/>
    </row>
    <row collapsed="false" customFormat="false" customHeight="false" hidden="false" ht="12.1" outlineLevel="0" r="735">
      <c r="A735" s="21" t="n">
        <v>45632.781006944</v>
      </c>
      <c r="B735" s="22" t="s">
        <v>901</v>
      </c>
      <c r="C735" s="22" t="s">
        <v>1033</v>
      </c>
      <c r="D735" s="22" t="s">
        <v>901</v>
      </c>
      <c r="E735" s="22" t="s">
        <v>901</v>
      </c>
      <c r="F735" s="22" t="s">
        <v>20</v>
      </c>
      <c r="G735" s="23" t="n">
        <v>1</v>
      </c>
      <c r="H735" s="24" t="n">
        <v>1</v>
      </c>
      <c r="I735" s="24" t="n">
        <v>67</v>
      </c>
      <c r="J735" s="24" t="n">
        <v>0</v>
      </c>
      <c r="K735" s="24" t="n">
        <v>0</v>
      </c>
      <c r="L735" s="24" t="n">
        <v>0</v>
      </c>
      <c r="M735" s="6" t="s">
        <f>=I735+J735+K735+L735</f>
      </c>
      <c r="N735" s="24"/>
      <c r="O735" s="22"/>
    </row>
    <row collapsed="false" customFormat="false" customHeight="false" hidden="false" ht="12.1" outlineLevel="0" r="736">
      <c r="A736" s="21" t="n">
        <v>45632.782233796</v>
      </c>
      <c r="B736" s="22" t="s">
        <v>891</v>
      </c>
      <c r="C736" s="22" t="s">
        <v>1034</v>
      </c>
      <c r="D736" s="22" t="s">
        <v>891</v>
      </c>
      <c r="E736" s="22" t="s">
        <v>891</v>
      </c>
      <c r="F736" s="22" t="s">
        <v>20</v>
      </c>
      <c r="G736" s="23" t="n">
        <v>1</v>
      </c>
      <c r="H736" s="24" t="n">
        <v>1</v>
      </c>
      <c r="I736" s="24" t="n">
        <v>9.8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4"/>
      <c r="O736" s="22"/>
    </row>
    <row collapsed="false" customFormat="false" customHeight="false" hidden="false" ht="12.1" outlineLevel="0" r="737">
      <c r="A737" s="21" t="n">
        <v>45632.794340278</v>
      </c>
      <c r="B737" s="22" t="s">
        <v>891</v>
      </c>
      <c r="C737" s="22" t="s">
        <v>1095</v>
      </c>
      <c r="D737" s="22" t="s">
        <v>891</v>
      </c>
      <c r="E737" s="22" t="s">
        <v>891</v>
      </c>
      <c r="F737" s="22" t="s">
        <v>20</v>
      </c>
      <c r="G737" s="23" t="n">
        <v>1</v>
      </c>
      <c r="H737" s="24" t="n">
        <v>1</v>
      </c>
      <c r="I737" s="24" t="n">
        <v>35.53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4"/>
      <c r="O737" s="22"/>
    </row>
    <row collapsed="false" customFormat="false" customHeight="false" hidden="false" ht="12.1" outlineLevel="0" r="738">
      <c r="A738" s="21" t="n">
        <v>45637.408136574</v>
      </c>
      <c r="B738" s="22" t="s">
        <v>891</v>
      </c>
      <c r="C738" s="22" t="s">
        <v>979</v>
      </c>
      <c r="D738" s="22" t="s">
        <v>891</v>
      </c>
      <c r="E738" s="22" t="s">
        <v>891</v>
      </c>
      <c r="F738" s="22" t="s">
        <v>20</v>
      </c>
      <c r="G738" s="23" t="n">
        <v>1</v>
      </c>
      <c r="H738" s="24" t="n">
        <v>1</v>
      </c>
      <c r="I738" s="24" t="n">
        <v>30.12</v>
      </c>
      <c r="J738" s="24" t="n">
        <v>0</v>
      </c>
      <c r="K738" s="24" t="n">
        <v>0</v>
      </c>
      <c r="L738" s="24" t="n">
        <v>0</v>
      </c>
      <c r="M738" s="6" t="s">
        <f>=I738+J738+K738+L738</f>
      </c>
      <c r="N738" s="24"/>
      <c r="O738" s="22"/>
    </row>
    <row collapsed="false" customFormat="false" customHeight="false" hidden="false" ht="12.1" outlineLevel="0" r="739">
      <c r="A739" s="21" t="n">
        <v>45637.409386574</v>
      </c>
      <c r="B739" s="22" t="s">
        <v>901</v>
      </c>
      <c r="C739" s="22" t="s">
        <v>1016</v>
      </c>
      <c r="D739" s="22" t="s">
        <v>901</v>
      </c>
      <c r="E739" s="22" t="s">
        <v>901</v>
      </c>
      <c r="F739" s="22" t="s">
        <v>20</v>
      </c>
      <c r="G739" s="23" t="n">
        <v>1</v>
      </c>
      <c r="H739" s="24" t="n">
        <v>1</v>
      </c>
      <c r="I739" s="24" t="n">
        <v>35</v>
      </c>
      <c r="J739" s="24" t="n">
        <v>0</v>
      </c>
      <c r="K739" s="24" t="n">
        <v>0</v>
      </c>
      <c r="L739" s="24" t="n">
        <v>0</v>
      </c>
      <c r="M739" s="6" t="s">
        <f>=I739+J739+K739+L739</f>
      </c>
      <c r="N739" s="24"/>
      <c r="O739" s="22"/>
    </row>
    <row collapsed="false" customFormat="false" customHeight="false" hidden="false" ht="12.1" outlineLevel="0" r="740">
      <c r="A740" s="21" t="n">
        <v>45639.411041667</v>
      </c>
      <c r="B740" s="22" t="s">
        <v>884</v>
      </c>
      <c r="C740" s="22" t="s">
        <v>336</v>
      </c>
      <c r="D740" s="22" t="s">
        <v>884</v>
      </c>
      <c r="E740" s="22" t="s">
        <v>884</v>
      </c>
      <c r="F740" s="22" t="s">
        <v>20</v>
      </c>
      <c r="G740" s="23" t="n">
        <v>1</v>
      </c>
      <c r="H740" s="24" t="n">
        <v>1</v>
      </c>
      <c r="I740" s="24" t="n">
        <v>11200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0" t="n">
        <v>45639.534849537</v>
      </c>
      <c r="B741" s="2" t="s">
        <v>17</v>
      </c>
      <c r="C741" s="2" t="s">
        <v>940</v>
      </c>
      <c r="D741" s="2" t="s">
        <v>757</v>
      </c>
      <c r="E741" s="2" t="s">
        <v>18</v>
      </c>
      <c r="F741" s="2" t="s">
        <v>20</v>
      </c>
      <c r="G741" s="7" t="n">
        <v>20</v>
      </c>
      <c r="H741" s="6" t="n">
        <v>228.29</v>
      </c>
      <c r="I741" s="6" t="n">
        <v>-4565.8</v>
      </c>
      <c r="J741" s="6" t="n">
        <v>0</v>
      </c>
      <c r="K741" s="6" t="n">
        <v>-13.7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45639.535277778</v>
      </c>
      <c r="B742" s="2" t="s">
        <v>46</v>
      </c>
      <c r="C742" s="2" t="s">
        <v>905</v>
      </c>
      <c r="D742" s="2" t="s">
        <v>757</v>
      </c>
      <c r="E742" s="2" t="s">
        <v>18</v>
      </c>
      <c r="F742" s="2" t="s">
        <v>20</v>
      </c>
      <c r="G742" s="7" t="n">
        <v>100</v>
      </c>
      <c r="H742" s="6" t="n">
        <v>3.584</v>
      </c>
      <c r="I742" s="6" t="n">
        <v>-358.4</v>
      </c>
      <c r="J742" s="6" t="n">
        <v>0</v>
      </c>
      <c r="K742" s="6" t="n">
        <v>-1.08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45639.535648148</v>
      </c>
      <c r="B743" s="2" t="s">
        <v>54</v>
      </c>
      <c r="C743" s="2" t="s">
        <v>949</v>
      </c>
      <c r="D743" s="2" t="s">
        <v>757</v>
      </c>
      <c r="E743" s="2" t="s">
        <v>18</v>
      </c>
      <c r="F743" s="2" t="s">
        <v>20</v>
      </c>
      <c r="G743" s="7" t="n">
        <v>10</v>
      </c>
      <c r="H743" s="6" t="n">
        <v>47.71</v>
      </c>
      <c r="I743" s="6" t="n">
        <v>-477.1</v>
      </c>
      <c r="J743" s="6" t="n">
        <v>0</v>
      </c>
      <c r="K743" s="6" t="n">
        <v>-1.43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45639.53587963</v>
      </c>
      <c r="B744" s="2" t="s">
        <v>63</v>
      </c>
      <c r="C744" s="2" t="s">
        <v>962</v>
      </c>
      <c r="D744" s="2" t="s">
        <v>757</v>
      </c>
      <c r="E744" s="2" t="s">
        <v>18</v>
      </c>
      <c r="F744" s="2" t="s">
        <v>20</v>
      </c>
      <c r="G744" s="7" t="n">
        <v>10</v>
      </c>
      <c r="H744" s="6" t="n">
        <v>51.02</v>
      </c>
      <c r="I744" s="6" t="n">
        <v>-510.2</v>
      </c>
      <c r="J744" s="6" t="n">
        <v>0</v>
      </c>
      <c r="K744" s="6" t="n">
        <v>-1.53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45639.536493056</v>
      </c>
      <c r="B745" s="2" t="s">
        <v>57</v>
      </c>
      <c r="C745" s="2" t="s">
        <v>1096</v>
      </c>
      <c r="D745" s="2" t="s">
        <v>757</v>
      </c>
      <c r="E745" s="2" t="s">
        <v>18</v>
      </c>
      <c r="F745" s="2" t="s">
        <v>20</v>
      </c>
      <c r="G745" s="7" t="n">
        <v>10</v>
      </c>
      <c r="H745" s="6" t="n">
        <v>306.11</v>
      </c>
      <c r="I745" s="6" t="n">
        <v>-3061.1</v>
      </c>
      <c r="J745" s="6" t="n">
        <v>0</v>
      </c>
      <c r="K745" s="6" t="n">
        <v>-9.18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45639.537106481</v>
      </c>
      <c r="B746" s="2" t="s">
        <v>34</v>
      </c>
      <c r="C746" s="2" t="s">
        <v>907</v>
      </c>
      <c r="D746" s="2" t="s">
        <v>757</v>
      </c>
      <c r="E746" s="2" t="s">
        <v>18</v>
      </c>
      <c r="F746" s="2" t="s">
        <v>20</v>
      </c>
      <c r="G746" s="7" t="n">
        <v>6</v>
      </c>
      <c r="H746" s="6" t="n">
        <v>561.3</v>
      </c>
      <c r="I746" s="6" t="n">
        <v>-3367.8</v>
      </c>
      <c r="J746" s="6" t="n">
        <v>0</v>
      </c>
      <c r="K746" s="6" t="n">
        <v>-10.1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45639.537569444</v>
      </c>
      <c r="B747" s="2" t="s">
        <v>22</v>
      </c>
      <c r="C747" s="2" t="s">
        <v>1097</v>
      </c>
      <c r="D747" s="2" t="s">
        <v>757</v>
      </c>
      <c r="E747" s="2" t="s">
        <v>18</v>
      </c>
      <c r="F747" s="2" t="s">
        <v>20</v>
      </c>
      <c r="G747" s="7" t="n">
        <v>1</v>
      </c>
      <c r="H747" s="6" t="n">
        <v>2289</v>
      </c>
      <c r="I747" s="6" t="n">
        <v>-2289</v>
      </c>
      <c r="J747" s="6" t="n">
        <v>0</v>
      </c>
      <c r="K747" s="6" t="n">
        <v>-6.87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45639.542152778</v>
      </c>
      <c r="B748" s="2" t="s">
        <v>34</v>
      </c>
      <c r="C748" s="2" t="s">
        <v>907</v>
      </c>
      <c r="D748" s="2" t="s">
        <v>757</v>
      </c>
      <c r="E748" s="2" t="s">
        <v>18</v>
      </c>
      <c r="F748" s="2" t="s">
        <v>20</v>
      </c>
      <c r="G748" s="7" t="n">
        <v>1</v>
      </c>
      <c r="H748" s="6" t="n">
        <v>562.1</v>
      </c>
      <c r="I748" s="6" t="n">
        <v>-562.1</v>
      </c>
      <c r="J748" s="6" t="n">
        <v>0</v>
      </c>
      <c r="K748" s="6" t="n">
        <v>-1.69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45643.579560185</v>
      </c>
      <c r="B749" s="22" t="s">
        <v>891</v>
      </c>
      <c r="C749" s="22" t="s">
        <v>1098</v>
      </c>
      <c r="D749" s="22" t="s">
        <v>891</v>
      </c>
      <c r="E749" s="22" t="s">
        <v>891</v>
      </c>
      <c r="F749" s="22" t="s">
        <v>20</v>
      </c>
      <c r="G749" s="23" t="n">
        <v>21</v>
      </c>
      <c r="H749" s="24" t="n">
        <v>3.131</v>
      </c>
      <c r="I749" s="24" t="n">
        <v>1301.75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5" t="n">
        <v>45643.579560185</v>
      </c>
      <c r="B750" s="26" t="s">
        <v>917</v>
      </c>
      <c r="C750" s="26" t="s">
        <v>1099</v>
      </c>
      <c r="D750" s="26" t="s">
        <v>917</v>
      </c>
      <c r="E750" s="26" t="s">
        <v>917</v>
      </c>
      <c r="F750" s="26" t="s">
        <v>20</v>
      </c>
      <c r="G750" s="27" t="n">
        <v>1</v>
      </c>
      <c r="H750" s="28" t="n">
        <v>-169</v>
      </c>
      <c r="I750" s="28" t="n">
        <v>-169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6"/>
    </row>
    <row collapsed="false" customFormat="false" customHeight="false" hidden="false" ht="12.1" outlineLevel="0" r="751">
      <c r="A751" s="21" t="n">
        <v>45645.392060185</v>
      </c>
      <c r="B751" s="22" t="s">
        <v>891</v>
      </c>
      <c r="C751" s="22" t="s">
        <v>941</v>
      </c>
      <c r="D751" s="22" t="s">
        <v>891</v>
      </c>
      <c r="E751" s="22" t="s">
        <v>891</v>
      </c>
      <c r="F751" s="22" t="s">
        <v>20</v>
      </c>
      <c r="G751" s="23" t="n">
        <v>1</v>
      </c>
      <c r="H751" s="24" t="n">
        <v>1</v>
      </c>
      <c r="I751" s="24" t="n">
        <v>863.1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4"/>
      <c r="O751" s="22"/>
    </row>
    <row collapsed="false" customFormat="false" customHeight="false" hidden="false" ht="12.1" outlineLevel="0" r="752">
      <c r="A752" s="21" t="n">
        <v>45651.411793981</v>
      </c>
      <c r="B752" s="22" t="s">
        <v>891</v>
      </c>
      <c r="C752" s="22" t="s">
        <v>1004</v>
      </c>
      <c r="D752" s="22" t="s">
        <v>891</v>
      </c>
      <c r="E752" s="22" t="s">
        <v>891</v>
      </c>
      <c r="F752" s="22" t="s">
        <v>20</v>
      </c>
      <c r="G752" s="23" t="n">
        <v>1</v>
      </c>
      <c r="H752" s="24" t="n">
        <v>1</v>
      </c>
      <c r="I752" s="24" t="n">
        <v>7.85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4"/>
      <c r="O752" s="22"/>
    </row>
    <row collapsed="false" customFormat="false" customHeight="false" hidden="false" ht="12.1" outlineLevel="0" r="753">
      <c r="A753" s="21" t="n">
        <v>45651.414351852</v>
      </c>
      <c r="B753" s="22" t="s">
        <v>901</v>
      </c>
      <c r="C753" s="22" t="s">
        <v>1003</v>
      </c>
      <c r="D753" s="22" t="s">
        <v>901</v>
      </c>
      <c r="E753" s="22" t="s">
        <v>901</v>
      </c>
      <c r="F753" s="22" t="s">
        <v>20</v>
      </c>
      <c r="G753" s="23" t="n">
        <v>1</v>
      </c>
      <c r="H753" s="24" t="n">
        <v>1</v>
      </c>
      <c r="I753" s="24" t="n">
        <v>150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4"/>
      <c r="O753" s="22"/>
    </row>
    <row collapsed="false" customFormat="false" customHeight="false" hidden="false" ht="12.1" outlineLevel="0" r="754">
      <c r="A754" s="21" t="n">
        <v>45651.784016204</v>
      </c>
      <c r="B754" s="22" t="s">
        <v>891</v>
      </c>
      <c r="C754" s="22" t="s">
        <v>1079</v>
      </c>
      <c r="D754" s="22" t="s">
        <v>891</v>
      </c>
      <c r="E754" s="22" t="s">
        <v>891</v>
      </c>
      <c r="F754" s="22" t="s">
        <v>20</v>
      </c>
      <c r="G754" s="23" t="n">
        <v>1</v>
      </c>
      <c r="H754" s="24" t="n">
        <v>1</v>
      </c>
      <c r="I754" s="24" t="n">
        <v>11.18</v>
      </c>
      <c r="J754" s="24" t="n">
        <v>0</v>
      </c>
      <c r="K754" s="24" t="n">
        <v>0</v>
      </c>
      <c r="L754" s="24" t="n">
        <v>0</v>
      </c>
      <c r="M754" s="6" t="s">
        <f>=I754+J754+K754+L754</f>
      </c>
      <c r="N754" s="24"/>
      <c r="O754" s="22"/>
    </row>
    <row collapsed="false" customFormat="false" customHeight="false" hidden="false" ht="12.1" outlineLevel="0" r="755">
      <c r="A755" s="21" t="n">
        <v>45653.502962963</v>
      </c>
      <c r="B755" s="22" t="s">
        <v>891</v>
      </c>
      <c r="C755" s="22" t="s">
        <v>1035</v>
      </c>
      <c r="D755" s="22" t="s">
        <v>891</v>
      </c>
      <c r="E755" s="22" t="s">
        <v>891</v>
      </c>
      <c r="F755" s="22" t="s">
        <v>20</v>
      </c>
      <c r="G755" s="23" t="n">
        <v>1</v>
      </c>
      <c r="H755" s="24" t="n">
        <v>1</v>
      </c>
      <c r="I755" s="24" t="n">
        <v>18.06</v>
      </c>
      <c r="J755" s="24" t="n">
        <v>0</v>
      </c>
      <c r="K755" s="24" t="n">
        <v>0</v>
      </c>
      <c r="L755" s="24" t="n">
        <v>0</v>
      </c>
      <c r="M755" s="6" t="s">
        <f>=I755+J755+K755+L755</f>
      </c>
      <c r="N755" s="24"/>
      <c r="O755" s="22"/>
    </row>
    <row collapsed="false" customFormat="false" customHeight="false" hidden="false" ht="12.1" outlineLevel="0" r="756">
      <c r="A756" s="21" t="n">
        <v>45653.650925926</v>
      </c>
      <c r="B756" s="22" t="s">
        <v>891</v>
      </c>
      <c r="C756" s="22" t="s">
        <v>1063</v>
      </c>
      <c r="D756" s="22" t="s">
        <v>891</v>
      </c>
      <c r="E756" s="22" t="s">
        <v>891</v>
      </c>
      <c r="F756" s="22" t="s">
        <v>20</v>
      </c>
      <c r="G756" s="23" t="n">
        <v>1</v>
      </c>
      <c r="H756" s="24" t="n">
        <v>1</v>
      </c>
      <c r="I756" s="24" t="n">
        <v>36.32</v>
      </c>
      <c r="J756" s="24" t="n">
        <v>0</v>
      </c>
      <c r="K756" s="24" t="n">
        <v>0</v>
      </c>
      <c r="L756" s="24" t="n">
        <v>0</v>
      </c>
      <c r="M756" s="6" t="s">
        <f>=I756+J756+K756+L756</f>
      </c>
      <c r="N756" s="24"/>
      <c r="O756" s="22"/>
    </row>
    <row collapsed="false" customFormat="false" customHeight="false" hidden="false" ht="12.1" outlineLevel="0" r="757">
      <c r="A757" s="21" t="n">
        <v>45654.652268519</v>
      </c>
      <c r="B757" s="22" t="s">
        <v>891</v>
      </c>
      <c r="C757" s="22" t="s">
        <v>1019</v>
      </c>
      <c r="D757" s="22" t="s">
        <v>891</v>
      </c>
      <c r="E757" s="22" t="s">
        <v>891</v>
      </c>
      <c r="F757" s="22" t="s">
        <v>20</v>
      </c>
      <c r="G757" s="23" t="n">
        <v>1</v>
      </c>
      <c r="H757" s="24" t="n">
        <v>1</v>
      </c>
      <c r="I757" s="24" t="n">
        <v>52.66</v>
      </c>
      <c r="J757" s="24" t="n">
        <v>0</v>
      </c>
      <c r="K757" s="24" t="n">
        <v>0</v>
      </c>
      <c r="L757" s="24" t="n">
        <v>0</v>
      </c>
      <c r="M757" s="6" t="s">
        <f>=I757+J757+K757+L757</f>
      </c>
      <c r="N757" s="24"/>
      <c r="O757" s="22"/>
    </row>
    <row collapsed="false" customFormat="false" customHeight="false" hidden="false" ht="12.1" outlineLevel="0" r="758">
      <c r="A758" s="21" t="n">
        <v>45656.469571759</v>
      </c>
      <c r="B758" s="22" t="s">
        <v>901</v>
      </c>
      <c r="C758" s="22" t="s">
        <v>1055</v>
      </c>
      <c r="D758" s="22" t="s">
        <v>901</v>
      </c>
      <c r="E758" s="22" t="s">
        <v>901</v>
      </c>
      <c r="F758" s="22" t="s">
        <v>20</v>
      </c>
      <c r="G758" s="23" t="n">
        <v>1</v>
      </c>
      <c r="H758" s="24" t="n">
        <v>1</v>
      </c>
      <c r="I758" s="24" t="n">
        <v>200</v>
      </c>
      <c r="J758" s="24" t="n">
        <v>0</v>
      </c>
      <c r="K758" s="24" t="n">
        <v>0</v>
      </c>
      <c r="L758" s="24" t="n">
        <v>0</v>
      </c>
      <c r="M758" s="6" t="s">
        <f>=I758+J758+K758+L758</f>
      </c>
      <c r="N758" s="24"/>
      <c r="O758" s="22"/>
    </row>
    <row collapsed="false" customFormat="false" customHeight="false" hidden="false" ht="12.1" outlineLevel="0" r="759">
      <c r="A759" s="21" t="n">
        <v>45666.602303241</v>
      </c>
      <c r="B759" s="22" t="s">
        <v>891</v>
      </c>
      <c r="C759" s="22" t="s">
        <v>1002</v>
      </c>
      <c r="D759" s="22" t="s">
        <v>891</v>
      </c>
      <c r="E759" s="22" t="s">
        <v>891</v>
      </c>
      <c r="F759" s="22" t="s">
        <v>20</v>
      </c>
      <c r="G759" s="23" t="n">
        <v>1</v>
      </c>
      <c r="H759" s="24" t="n">
        <v>1</v>
      </c>
      <c r="I759" s="24" t="n">
        <v>36.78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4"/>
      <c r="O759" s="22"/>
    </row>
    <row collapsed="false" customFormat="false" customHeight="false" hidden="false" ht="12.1" outlineLevel="0" r="760">
      <c r="A760" s="21" t="n">
        <v>45667.841736111</v>
      </c>
      <c r="B760" s="22" t="s">
        <v>891</v>
      </c>
      <c r="C760" s="22" t="s">
        <v>900</v>
      </c>
      <c r="D760" s="22" t="s">
        <v>891</v>
      </c>
      <c r="E760" s="22" t="s">
        <v>891</v>
      </c>
      <c r="F760" s="22" t="s">
        <v>20</v>
      </c>
      <c r="G760" s="23" t="n">
        <v>1</v>
      </c>
      <c r="H760" s="24" t="n">
        <v>1</v>
      </c>
      <c r="I760" s="24" t="n">
        <v>6.98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2"/>
    </row>
    <row collapsed="false" customFormat="false" customHeight="false" hidden="false" ht="12.1" outlineLevel="0" r="761">
      <c r="A761" s="21" t="n">
        <v>45670.441712963</v>
      </c>
      <c r="B761" s="22" t="s">
        <v>884</v>
      </c>
      <c r="C761" s="22" t="s">
        <v>336</v>
      </c>
      <c r="D761" s="22" t="s">
        <v>884</v>
      </c>
      <c r="E761" s="22" t="s">
        <v>884</v>
      </c>
      <c r="F761" s="22" t="s">
        <v>20</v>
      </c>
      <c r="G761" s="23" t="n">
        <v>1</v>
      </c>
      <c r="H761" s="24" t="n">
        <v>1</v>
      </c>
      <c r="I761" s="24" t="n">
        <v>10600</v>
      </c>
      <c r="J761" s="24" t="n">
        <v>0</v>
      </c>
      <c r="K761" s="24" t="n">
        <v>0</v>
      </c>
      <c r="L761" s="24" t="n">
        <v>0</v>
      </c>
      <c r="M761" s="6" t="s">
        <f>=I761+J761+K761+L761</f>
      </c>
      <c r="N761" s="24"/>
      <c r="O761" s="22"/>
    </row>
    <row collapsed="false" customFormat="false" customHeight="false" hidden="false" ht="12.1" outlineLevel="0" r="762">
      <c r="A762" s="20" t="n">
        <v>45670.512893519</v>
      </c>
      <c r="B762" s="2" t="s">
        <v>165</v>
      </c>
      <c r="C762" s="2" t="s">
        <v>1100</v>
      </c>
      <c r="D762" s="2" t="s">
        <v>757</v>
      </c>
      <c r="E762" s="2" t="s">
        <v>96</v>
      </c>
      <c r="F762" s="2" t="s">
        <v>20</v>
      </c>
      <c r="G762" s="7" t="n">
        <v>1</v>
      </c>
      <c r="H762" s="6" t="n">
        <v>77.34</v>
      </c>
      <c r="I762" s="6" t="n">
        <v>-773.4</v>
      </c>
      <c r="J762" s="6" t="n">
        <v>-54.25</v>
      </c>
      <c r="K762" s="6" t="n">
        <v>-2.32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45670.51380787</v>
      </c>
      <c r="B763" s="2" t="s">
        <v>174</v>
      </c>
      <c r="C763" s="2" t="s">
        <v>1071</v>
      </c>
      <c r="D763" s="2" t="s">
        <v>757</v>
      </c>
      <c r="E763" s="2" t="s">
        <v>96</v>
      </c>
      <c r="F763" s="2" t="s">
        <v>20</v>
      </c>
      <c r="G763" s="7" t="n">
        <v>1</v>
      </c>
      <c r="H763" s="6" t="n">
        <v>79.32</v>
      </c>
      <c r="I763" s="6" t="n">
        <v>-793.2</v>
      </c>
      <c r="J763" s="6" t="n">
        <v>-13.42</v>
      </c>
      <c r="K763" s="6" t="n">
        <v>-2.38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45670.514421296</v>
      </c>
      <c r="B764" s="2" t="s">
        <v>168</v>
      </c>
      <c r="C764" s="2" t="s">
        <v>1072</v>
      </c>
      <c r="D764" s="2" t="s">
        <v>757</v>
      </c>
      <c r="E764" s="2" t="s">
        <v>96</v>
      </c>
      <c r="F764" s="2" t="s">
        <v>20</v>
      </c>
      <c r="G764" s="7" t="n">
        <v>1</v>
      </c>
      <c r="H764" s="6" t="n">
        <v>84</v>
      </c>
      <c r="I764" s="6" t="n">
        <v>-840</v>
      </c>
      <c r="J764" s="6" t="n">
        <v>-43.02</v>
      </c>
      <c r="K764" s="6" t="n">
        <v>-2.52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45670.515428241</v>
      </c>
      <c r="B765" s="2" t="s">
        <v>204</v>
      </c>
      <c r="C765" s="2" t="s">
        <v>1101</v>
      </c>
      <c r="D765" s="2" t="s">
        <v>757</v>
      </c>
      <c r="E765" s="2" t="s">
        <v>96</v>
      </c>
      <c r="F765" s="2" t="s">
        <v>20</v>
      </c>
      <c r="G765" s="7" t="n">
        <v>1</v>
      </c>
      <c r="H765" s="6" t="n">
        <v>78.07</v>
      </c>
      <c r="I765" s="6" t="n">
        <v>-780.7</v>
      </c>
      <c r="J765" s="6" t="n">
        <v>-16.7</v>
      </c>
      <c r="K765" s="6" t="n">
        <v>-2.34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45670.515810185</v>
      </c>
      <c r="B766" s="2" t="s">
        <v>210</v>
      </c>
      <c r="C766" s="2" t="s">
        <v>1102</v>
      </c>
      <c r="D766" s="2" t="s">
        <v>757</v>
      </c>
      <c r="E766" s="2" t="s">
        <v>96</v>
      </c>
      <c r="F766" s="2" t="s">
        <v>20</v>
      </c>
      <c r="G766" s="7" t="n">
        <v>1</v>
      </c>
      <c r="H766" s="6" t="n">
        <v>70.05</v>
      </c>
      <c r="I766" s="6" t="n">
        <v>-700.5</v>
      </c>
      <c r="J766" s="6" t="n">
        <v>-6.27</v>
      </c>
      <c r="K766" s="6" t="n">
        <v>-2.1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45670.516446759</v>
      </c>
      <c r="B767" s="2" t="s">
        <v>198</v>
      </c>
      <c r="C767" s="2" t="s">
        <v>1103</v>
      </c>
      <c r="D767" s="2" t="s">
        <v>757</v>
      </c>
      <c r="E767" s="2" t="s">
        <v>96</v>
      </c>
      <c r="F767" s="2" t="s">
        <v>20</v>
      </c>
      <c r="G767" s="7" t="n">
        <v>1</v>
      </c>
      <c r="H767" s="6" t="n">
        <v>82.93</v>
      </c>
      <c r="I767" s="6" t="n">
        <v>-829.3</v>
      </c>
      <c r="J767" s="6" t="n">
        <v>-28.17</v>
      </c>
      <c r="K767" s="6" t="n">
        <v>-2.49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45670.516840278</v>
      </c>
      <c r="B768" s="2" t="s">
        <v>195</v>
      </c>
      <c r="C768" s="2" t="s">
        <v>1104</v>
      </c>
      <c r="D768" s="2" t="s">
        <v>757</v>
      </c>
      <c r="E768" s="2" t="s">
        <v>96</v>
      </c>
      <c r="F768" s="2" t="s">
        <v>20</v>
      </c>
      <c r="G768" s="7" t="n">
        <v>1</v>
      </c>
      <c r="H768" s="6" t="n">
        <v>83.18</v>
      </c>
      <c r="I768" s="6" t="n">
        <v>-831.8</v>
      </c>
      <c r="J768" s="6" t="n">
        <v>-35.51</v>
      </c>
      <c r="K768" s="6" t="n">
        <v>-2.5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0" t="n">
        <v>45670.517696759</v>
      </c>
      <c r="B769" s="2" t="s">
        <v>273</v>
      </c>
      <c r="C769" s="2" t="s">
        <v>1105</v>
      </c>
      <c r="D769" s="2" t="s">
        <v>757</v>
      </c>
      <c r="E769" s="2" t="s">
        <v>96</v>
      </c>
      <c r="F769" s="2" t="s">
        <v>20</v>
      </c>
      <c r="G769" s="7" t="n">
        <v>1</v>
      </c>
      <c r="H769" s="6" t="n">
        <v>93.93</v>
      </c>
      <c r="I769" s="6" t="n">
        <v>-939.3</v>
      </c>
      <c r="J769" s="6" t="n">
        <v>-1.97</v>
      </c>
      <c r="K769" s="6" t="n">
        <v>-2.82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45670.518194444</v>
      </c>
      <c r="B770" s="2" t="s">
        <v>165</v>
      </c>
      <c r="C770" s="2" t="s">
        <v>1100</v>
      </c>
      <c r="D770" s="2" t="s">
        <v>757</v>
      </c>
      <c r="E770" s="2" t="s">
        <v>96</v>
      </c>
      <c r="F770" s="2" t="s">
        <v>20</v>
      </c>
      <c r="G770" s="7" t="n">
        <v>1</v>
      </c>
      <c r="H770" s="6" t="n">
        <v>77.37</v>
      </c>
      <c r="I770" s="6" t="n">
        <v>-773.7</v>
      </c>
      <c r="J770" s="6" t="n">
        <v>-54.25</v>
      </c>
      <c r="K770" s="6" t="n">
        <v>-2.32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45670.518356481</v>
      </c>
      <c r="B771" s="2" t="s">
        <v>174</v>
      </c>
      <c r="C771" s="2" t="s">
        <v>1071</v>
      </c>
      <c r="D771" s="2" t="s">
        <v>757</v>
      </c>
      <c r="E771" s="2" t="s">
        <v>96</v>
      </c>
      <c r="F771" s="2" t="s">
        <v>20</v>
      </c>
      <c r="G771" s="7" t="n">
        <v>1</v>
      </c>
      <c r="H771" s="6" t="n">
        <v>79.31</v>
      </c>
      <c r="I771" s="6" t="n">
        <v>-793.1</v>
      </c>
      <c r="J771" s="6" t="n">
        <v>-13.42</v>
      </c>
      <c r="K771" s="6" t="n">
        <v>-2.38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45670.518472222</v>
      </c>
      <c r="B772" s="2" t="s">
        <v>168</v>
      </c>
      <c r="C772" s="2" t="s">
        <v>1072</v>
      </c>
      <c r="D772" s="2" t="s">
        <v>757</v>
      </c>
      <c r="E772" s="2" t="s">
        <v>96</v>
      </c>
      <c r="F772" s="2" t="s">
        <v>20</v>
      </c>
      <c r="G772" s="7" t="n">
        <v>1</v>
      </c>
      <c r="H772" s="6" t="n">
        <v>84</v>
      </c>
      <c r="I772" s="6" t="n">
        <v>-840</v>
      </c>
      <c r="J772" s="6" t="n">
        <v>-43.02</v>
      </c>
      <c r="K772" s="6" t="n">
        <v>-2.52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45670.518599537</v>
      </c>
      <c r="B773" s="2" t="s">
        <v>204</v>
      </c>
      <c r="C773" s="2" t="s">
        <v>1101</v>
      </c>
      <c r="D773" s="2" t="s">
        <v>757</v>
      </c>
      <c r="E773" s="2" t="s">
        <v>96</v>
      </c>
      <c r="F773" s="2" t="s">
        <v>20</v>
      </c>
      <c r="G773" s="7" t="n">
        <v>1</v>
      </c>
      <c r="H773" s="6" t="n">
        <v>78.06</v>
      </c>
      <c r="I773" s="6" t="n">
        <v>-780.6</v>
      </c>
      <c r="J773" s="6" t="n">
        <v>-16.7</v>
      </c>
      <c r="K773" s="6" t="n">
        <v>-2.34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45670.518726852</v>
      </c>
      <c r="B774" s="2" t="s">
        <v>210</v>
      </c>
      <c r="C774" s="2" t="s">
        <v>1102</v>
      </c>
      <c r="D774" s="2" t="s">
        <v>757</v>
      </c>
      <c r="E774" s="2" t="s">
        <v>96</v>
      </c>
      <c r="F774" s="2" t="s">
        <v>20</v>
      </c>
      <c r="G774" s="7" t="n">
        <v>1</v>
      </c>
      <c r="H774" s="6" t="n">
        <v>70.06</v>
      </c>
      <c r="I774" s="6" t="n">
        <v>-700.6</v>
      </c>
      <c r="J774" s="6" t="n">
        <v>-6.27</v>
      </c>
      <c r="K774" s="6" t="n">
        <v>-2.1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45670.519351852</v>
      </c>
      <c r="B775" s="2" t="s">
        <v>198</v>
      </c>
      <c r="C775" s="2" t="s">
        <v>1103</v>
      </c>
      <c r="D775" s="2" t="s">
        <v>757</v>
      </c>
      <c r="E775" s="2" t="s">
        <v>96</v>
      </c>
      <c r="F775" s="2" t="s">
        <v>20</v>
      </c>
      <c r="G775" s="7" t="n">
        <v>1</v>
      </c>
      <c r="H775" s="6" t="n">
        <v>83</v>
      </c>
      <c r="I775" s="6" t="n">
        <v>-830</v>
      </c>
      <c r="J775" s="6" t="n">
        <v>-28.17</v>
      </c>
      <c r="K775" s="6" t="n">
        <v>-2.49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45670.519479167</v>
      </c>
      <c r="B776" s="2" t="s">
        <v>195</v>
      </c>
      <c r="C776" s="2" t="s">
        <v>1104</v>
      </c>
      <c r="D776" s="2" t="s">
        <v>757</v>
      </c>
      <c r="E776" s="2" t="s">
        <v>96</v>
      </c>
      <c r="F776" s="2" t="s">
        <v>20</v>
      </c>
      <c r="G776" s="7" t="n">
        <v>1</v>
      </c>
      <c r="H776" s="6" t="n">
        <v>83.19</v>
      </c>
      <c r="I776" s="6" t="n">
        <v>-831.9</v>
      </c>
      <c r="J776" s="6" t="n">
        <v>-35.51</v>
      </c>
      <c r="K776" s="6" t="n">
        <v>-2.5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45670.519826389</v>
      </c>
      <c r="B777" s="2" t="s">
        <v>165</v>
      </c>
      <c r="C777" s="2" t="s">
        <v>1100</v>
      </c>
      <c r="D777" s="2" t="s">
        <v>757</v>
      </c>
      <c r="E777" s="2" t="s">
        <v>96</v>
      </c>
      <c r="F777" s="2" t="s">
        <v>20</v>
      </c>
      <c r="G777" s="7" t="n">
        <v>1</v>
      </c>
      <c r="H777" s="6" t="n">
        <v>77.34</v>
      </c>
      <c r="I777" s="6" t="n">
        <v>-773.4</v>
      </c>
      <c r="J777" s="6" t="n">
        <v>-54.25</v>
      </c>
      <c r="K777" s="6" t="n">
        <v>-2.32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1" t="n">
        <v>45672.738252315</v>
      </c>
      <c r="B778" s="22" t="s">
        <v>891</v>
      </c>
      <c r="C778" s="22" t="s">
        <v>1084</v>
      </c>
      <c r="D778" s="22" t="s">
        <v>891</v>
      </c>
      <c r="E778" s="22" t="s">
        <v>891</v>
      </c>
      <c r="F778" s="22" t="s">
        <v>20</v>
      </c>
      <c r="G778" s="23" t="n">
        <v>1</v>
      </c>
      <c r="H778" s="24" t="n">
        <v>1</v>
      </c>
      <c r="I778" s="24" t="n">
        <v>26.18</v>
      </c>
      <c r="J778" s="24" t="n">
        <v>0</v>
      </c>
      <c r="K778" s="24" t="n">
        <v>0</v>
      </c>
      <c r="L778" s="24" t="n">
        <v>0</v>
      </c>
      <c r="M778" s="6" t="s">
        <f>=I778+J778+K778+L778</f>
      </c>
      <c r="N778" s="24"/>
      <c r="O778" s="22"/>
    </row>
    <row collapsed="false" customFormat="false" customHeight="false" hidden="false" ht="12.1" outlineLevel="0" r="779">
      <c r="A779" s="21" t="n">
        <v>45674.388263889</v>
      </c>
      <c r="B779" s="22" t="s">
        <v>891</v>
      </c>
      <c r="C779" s="22" t="s">
        <v>1022</v>
      </c>
      <c r="D779" s="22" t="s">
        <v>891</v>
      </c>
      <c r="E779" s="22" t="s">
        <v>891</v>
      </c>
      <c r="F779" s="22" t="s">
        <v>20</v>
      </c>
      <c r="G779" s="23" t="n">
        <v>1</v>
      </c>
      <c r="H779" s="24" t="n">
        <v>1</v>
      </c>
      <c r="I779" s="24" t="n">
        <v>44.88</v>
      </c>
      <c r="J779" s="24" t="n">
        <v>0</v>
      </c>
      <c r="K779" s="24" t="n">
        <v>0</v>
      </c>
      <c r="L779" s="24" t="n">
        <v>0</v>
      </c>
      <c r="M779" s="6" t="s">
        <f>=I779+J779+K779+L779</f>
      </c>
      <c r="N779" s="24"/>
      <c r="O779" s="22"/>
    </row>
    <row collapsed="false" customFormat="false" customHeight="false" hidden="false" ht="12.1" outlineLevel="0" r="780">
      <c r="A780" s="21" t="n">
        <v>45677.790868056</v>
      </c>
      <c r="B780" s="22" t="s">
        <v>891</v>
      </c>
      <c r="C780" s="22" t="s">
        <v>1106</v>
      </c>
      <c r="D780" s="22" t="s">
        <v>891</v>
      </c>
      <c r="E780" s="22" t="s">
        <v>891</v>
      </c>
      <c r="F780" s="22" t="s">
        <v>20</v>
      </c>
      <c r="G780" s="23" t="n">
        <v>1</v>
      </c>
      <c r="H780" s="24" t="n">
        <v>1</v>
      </c>
      <c r="I780" s="24" t="n">
        <v>54.35</v>
      </c>
      <c r="J780" s="24" t="n">
        <v>0</v>
      </c>
      <c r="K780" s="24" t="n">
        <v>0</v>
      </c>
      <c r="L780" s="24" t="n">
        <v>0</v>
      </c>
      <c r="M780" s="6" t="s">
        <f>=I780+J780+K780+L780</f>
      </c>
      <c r="N780" s="24"/>
      <c r="O780" s="22"/>
    </row>
    <row collapsed="false" customFormat="false" customHeight="false" hidden="false" ht="12.1" outlineLevel="0" r="781">
      <c r="A781" s="21" t="n">
        <v>45679.567824074</v>
      </c>
      <c r="B781" s="22" t="s">
        <v>901</v>
      </c>
      <c r="C781" s="22" t="s">
        <v>1107</v>
      </c>
      <c r="D781" s="22" t="s">
        <v>901</v>
      </c>
      <c r="E781" s="22" t="s">
        <v>901</v>
      </c>
      <c r="F781" s="22" t="s">
        <v>20</v>
      </c>
      <c r="G781" s="23" t="n">
        <v>1</v>
      </c>
      <c r="H781" s="24" t="n">
        <v>1</v>
      </c>
      <c r="I781" s="24" t="n">
        <v>165</v>
      </c>
      <c r="J781" s="24" t="n">
        <v>0</v>
      </c>
      <c r="K781" s="24" t="n">
        <v>0</v>
      </c>
      <c r="L781" s="24" t="n">
        <v>0</v>
      </c>
      <c r="M781" s="6" t="s">
        <f>=I781+J781+K781+L781</f>
      </c>
      <c r="N781" s="24"/>
      <c r="O781" s="22"/>
    </row>
    <row collapsed="false" customFormat="false" customHeight="false" hidden="false" ht="12.1" outlineLevel="0" r="782">
      <c r="A782" s="21" t="n">
        <v>45679.581539352</v>
      </c>
      <c r="B782" s="22" t="s">
        <v>891</v>
      </c>
      <c r="C782" s="22" t="s">
        <v>1023</v>
      </c>
      <c r="D782" s="22" t="s">
        <v>891</v>
      </c>
      <c r="E782" s="22" t="s">
        <v>891</v>
      </c>
      <c r="F782" s="22" t="s">
        <v>20</v>
      </c>
      <c r="G782" s="23" t="n">
        <v>1</v>
      </c>
      <c r="H782" s="24" t="n">
        <v>1</v>
      </c>
      <c r="I782" s="24" t="n">
        <v>34.28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4"/>
      <c r="O782" s="22"/>
    </row>
    <row collapsed="false" customFormat="false" customHeight="false" hidden="false" ht="12.1" outlineLevel="0" r="783">
      <c r="A783" s="21" t="n">
        <v>45680.485185185</v>
      </c>
      <c r="B783" s="22" t="s">
        <v>891</v>
      </c>
      <c r="C783" s="22" t="s">
        <v>988</v>
      </c>
      <c r="D783" s="22" t="s">
        <v>891</v>
      </c>
      <c r="E783" s="22" t="s">
        <v>891</v>
      </c>
      <c r="F783" s="22" t="s">
        <v>20</v>
      </c>
      <c r="G783" s="23" t="n">
        <v>1</v>
      </c>
      <c r="H783" s="24" t="n">
        <v>1</v>
      </c>
      <c r="I783" s="24" t="n">
        <v>43.38</v>
      </c>
      <c r="J783" s="24" t="n">
        <v>0</v>
      </c>
      <c r="K783" s="24" t="n">
        <v>0</v>
      </c>
      <c r="L783" s="24" t="n">
        <v>0</v>
      </c>
      <c r="M783" s="6" t="s">
        <f>=I783+J783+K783+L783</f>
      </c>
      <c r="N783" s="24"/>
      <c r="O783" s="22"/>
    </row>
    <row collapsed="false" customFormat="false" customHeight="false" hidden="false" ht="12.1" outlineLevel="0" r="784">
      <c r="A784" s="21" t="n">
        <v>45680.691851852</v>
      </c>
      <c r="B784" s="22" t="s">
        <v>891</v>
      </c>
      <c r="C784" s="22" t="s">
        <v>1008</v>
      </c>
      <c r="D784" s="22" t="s">
        <v>891</v>
      </c>
      <c r="E784" s="22" t="s">
        <v>891</v>
      </c>
      <c r="F784" s="22" t="s">
        <v>20</v>
      </c>
      <c r="G784" s="23" t="n">
        <v>1</v>
      </c>
      <c r="H784" s="24" t="n">
        <v>1</v>
      </c>
      <c r="I784" s="24" t="n">
        <v>55.05</v>
      </c>
      <c r="J784" s="24" t="n">
        <v>0</v>
      </c>
      <c r="K784" s="24" t="n">
        <v>0</v>
      </c>
      <c r="L784" s="24" t="n">
        <v>0</v>
      </c>
      <c r="M784" s="6" t="s">
        <f>=I784+J784+K784+L784</f>
      </c>
      <c r="N784" s="24"/>
      <c r="O784" s="22"/>
    </row>
    <row collapsed="false" customFormat="false" customHeight="false" hidden="false" ht="12.1" outlineLevel="0" r="785">
      <c r="A785" s="21" t="n">
        <v>45680.762280093</v>
      </c>
      <c r="B785" s="22" t="s">
        <v>891</v>
      </c>
      <c r="C785" s="22" t="s">
        <v>1108</v>
      </c>
      <c r="D785" s="22" t="s">
        <v>891</v>
      </c>
      <c r="E785" s="22" t="s">
        <v>891</v>
      </c>
      <c r="F785" s="22" t="s">
        <v>20</v>
      </c>
      <c r="G785" s="23" t="n">
        <v>1</v>
      </c>
      <c r="H785" s="24" t="n">
        <v>1</v>
      </c>
      <c r="I785" s="24" t="n">
        <v>156.51</v>
      </c>
      <c r="J785" s="24" t="n">
        <v>0</v>
      </c>
      <c r="K785" s="24" t="n">
        <v>0</v>
      </c>
      <c r="L785" s="24" t="n">
        <v>0</v>
      </c>
      <c r="M785" s="6" t="s">
        <f>=I785+J785+K785+L785</f>
      </c>
      <c r="N785" s="24"/>
      <c r="O785" s="22"/>
    </row>
    <row collapsed="false" customFormat="false" customHeight="false" hidden="false" ht="12.1" outlineLevel="0" r="786">
      <c r="A786" s="25" t="n">
        <v>45680.762280093</v>
      </c>
      <c r="B786" s="26" t="s">
        <v>917</v>
      </c>
      <c r="C786" s="26" t="s">
        <v>1109</v>
      </c>
      <c r="D786" s="26" t="s">
        <v>917</v>
      </c>
      <c r="E786" s="26" t="s">
        <v>917</v>
      </c>
      <c r="F786" s="26" t="s">
        <v>20</v>
      </c>
      <c r="G786" s="27" t="n">
        <v>1</v>
      </c>
      <c r="H786" s="28" t="n">
        <v>-20</v>
      </c>
      <c r="I786" s="28" t="n">
        <v>-20</v>
      </c>
      <c r="J786" s="28" t="n">
        <v>0</v>
      </c>
      <c r="K786" s="28" t="n">
        <v>0</v>
      </c>
      <c r="L786" s="28" t="n">
        <v>0</v>
      </c>
      <c r="M786" s="6" t="s">
        <f>=I786+J786+K786+L786</f>
      </c>
      <c r="N786" s="28"/>
      <c r="O786" s="26"/>
    </row>
    <row collapsed="false" customFormat="false" customHeight="false" hidden="false" ht="12.1" outlineLevel="0" r="787">
      <c r="A787" s="21" t="n">
        <v>45681.534733796</v>
      </c>
      <c r="B787" s="22" t="s">
        <v>891</v>
      </c>
      <c r="C787" s="22" t="s">
        <v>1079</v>
      </c>
      <c r="D787" s="22" t="s">
        <v>891</v>
      </c>
      <c r="E787" s="22" t="s">
        <v>891</v>
      </c>
      <c r="F787" s="22" t="s">
        <v>20</v>
      </c>
      <c r="G787" s="23" t="n">
        <v>1</v>
      </c>
      <c r="H787" s="24" t="n">
        <v>1</v>
      </c>
      <c r="I787" s="24" t="n">
        <v>11.18</v>
      </c>
      <c r="J787" s="24" t="n">
        <v>0</v>
      </c>
      <c r="K787" s="24" t="n">
        <v>0</v>
      </c>
      <c r="L787" s="24" t="n">
        <v>0</v>
      </c>
      <c r="M787" s="6" t="s">
        <f>=I787+J787+K787+L787</f>
      </c>
      <c r="N787" s="24"/>
      <c r="O787" s="22"/>
    </row>
    <row collapsed="false" customFormat="false" customHeight="false" hidden="false" ht="12.1" outlineLevel="0" r="788">
      <c r="A788" s="21" t="n">
        <v>45685.664814815</v>
      </c>
      <c r="B788" s="22" t="s">
        <v>891</v>
      </c>
      <c r="C788" s="22" t="s">
        <v>1035</v>
      </c>
      <c r="D788" s="22" t="s">
        <v>891</v>
      </c>
      <c r="E788" s="22" t="s">
        <v>891</v>
      </c>
      <c r="F788" s="22" t="s">
        <v>20</v>
      </c>
      <c r="G788" s="23" t="n">
        <v>1</v>
      </c>
      <c r="H788" s="24" t="n">
        <v>1</v>
      </c>
      <c r="I788" s="24" t="n">
        <v>18.98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1" t="n">
        <v>45685.672835648</v>
      </c>
      <c r="B789" s="22" t="s">
        <v>891</v>
      </c>
      <c r="C789" s="22" t="s">
        <v>1063</v>
      </c>
      <c r="D789" s="22" t="s">
        <v>891</v>
      </c>
      <c r="E789" s="22" t="s">
        <v>891</v>
      </c>
      <c r="F789" s="22" t="s">
        <v>20</v>
      </c>
      <c r="G789" s="23" t="n">
        <v>1</v>
      </c>
      <c r="H789" s="24" t="n">
        <v>1</v>
      </c>
      <c r="I789" s="24" t="n">
        <v>36.32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2"/>
    </row>
    <row collapsed="false" customFormat="false" customHeight="false" hidden="false" ht="12.1" outlineLevel="0" r="790">
      <c r="A790" s="21" t="n">
        <v>45686.567013889</v>
      </c>
      <c r="B790" s="22" t="s">
        <v>891</v>
      </c>
      <c r="C790" s="22" t="s">
        <v>1002</v>
      </c>
      <c r="D790" s="22" t="s">
        <v>891</v>
      </c>
      <c r="E790" s="22" t="s">
        <v>891</v>
      </c>
      <c r="F790" s="22" t="s">
        <v>20</v>
      </c>
      <c r="G790" s="23" t="n">
        <v>1</v>
      </c>
      <c r="H790" s="24" t="n">
        <v>1</v>
      </c>
      <c r="I790" s="24" t="n">
        <v>38.4</v>
      </c>
      <c r="J790" s="24" t="n">
        <v>0</v>
      </c>
      <c r="K790" s="24" t="n">
        <v>0</v>
      </c>
      <c r="L790" s="24" t="n">
        <v>0</v>
      </c>
      <c r="M790" s="6" t="s">
        <f>=I790+J790+K790+L790</f>
      </c>
      <c r="N790" s="24"/>
      <c r="O790" s="22"/>
    </row>
    <row collapsed="false" customFormat="false" customHeight="false" hidden="false" ht="12.1" outlineLevel="0" r="791">
      <c r="A791" s="21" t="n">
        <v>45686.601666667</v>
      </c>
      <c r="B791" s="22" t="s">
        <v>891</v>
      </c>
      <c r="C791" s="22" t="s">
        <v>1064</v>
      </c>
      <c r="D791" s="22" t="s">
        <v>891</v>
      </c>
      <c r="E791" s="22" t="s">
        <v>891</v>
      </c>
      <c r="F791" s="22" t="s">
        <v>20</v>
      </c>
      <c r="G791" s="23" t="n">
        <v>1</v>
      </c>
      <c r="H791" s="24" t="n">
        <v>1</v>
      </c>
      <c r="I791" s="24" t="n">
        <v>58.34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2"/>
    </row>
    <row collapsed="false" customFormat="false" customHeight="false" hidden="false" ht="12.1" outlineLevel="0" r="792">
      <c r="A792" s="21" t="n">
        <v>45686.633912037</v>
      </c>
      <c r="B792" s="22" t="s">
        <v>891</v>
      </c>
      <c r="C792" s="22" t="s">
        <v>945</v>
      </c>
      <c r="D792" s="22" t="s">
        <v>891</v>
      </c>
      <c r="E792" s="22" t="s">
        <v>891</v>
      </c>
      <c r="F792" s="22" t="s">
        <v>20</v>
      </c>
      <c r="G792" s="23" t="n">
        <v>1</v>
      </c>
      <c r="H792" s="24" t="n">
        <v>1</v>
      </c>
      <c r="I792" s="24" t="n">
        <v>28.22</v>
      </c>
      <c r="J792" s="24" t="n">
        <v>0</v>
      </c>
      <c r="K792" s="24" t="n">
        <v>0</v>
      </c>
      <c r="L792" s="24" t="n">
        <v>0</v>
      </c>
      <c r="M792" s="6" t="s">
        <f>=I792+J792+K792+L792</f>
      </c>
      <c r="N792" s="24"/>
      <c r="O792" s="22"/>
    </row>
    <row collapsed="false" customFormat="false" customHeight="false" hidden="false" ht="12.1" outlineLevel="0" r="793">
      <c r="A793" s="21" t="n">
        <v>45686.880185185</v>
      </c>
      <c r="B793" s="22" t="s">
        <v>891</v>
      </c>
      <c r="C793" s="22" t="s">
        <v>946</v>
      </c>
      <c r="D793" s="22" t="s">
        <v>891</v>
      </c>
      <c r="E793" s="22" t="s">
        <v>891</v>
      </c>
      <c r="F793" s="22" t="s">
        <v>20</v>
      </c>
      <c r="G793" s="23" t="n">
        <v>1</v>
      </c>
      <c r="H793" s="24" t="n">
        <v>1</v>
      </c>
      <c r="I793" s="24" t="n">
        <v>84.72</v>
      </c>
      <c r="J793" s="24" t="n">
        <v>0</v>
      </c>
      <c r="K793" s="24" t="n">
        <v>0</v>
      </c>
      <c r="L793" s="24" t="n">
        <v>0</v>
      </c>
      <c r="M793" s="6" t="s">
        <f>=I793+J793+K793+L793</f>
      </c>
      <c r="N793" s="24"/>
      <c r="O793" s="22"/>
    </row>
    <row collapsed="false" customFormat="false" customHeight="false" hidden="false" ht="12.1" outlineLevel="0" r="794">
      <c r="A794" s="21" t="n">
        <v>45686.890578704</v>
      </c>
      <c r="B794" s="22" t="s">
        <v>901</v>
      </c>
      <c r="C794" s="22" t="s">
        <v>1110</v>
      </c>
      <c r="D794" s="22" t="s">
        <v>901</v>
      </c>
      <c r="E794" s="22" t="s">
        <v>901</v>
      </c>
      <c r="F794" s="22" t="s">
        <v>20</v>
      </c>
      <c r="G794" s="23" t="n">
        <v>1</v>
      </c>
      <c r="H794" s="24" t="n">
        <v>1</v>
      </c>
      <c r="I794" s="24" t="n">
        <v>1000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4"/>
      <c r="O794" s="22"/>
    </row>
    <row collapsed="false" customFormat="false" customHeight="false" hidden="false" ht="12.1" outlineLevel="0" r="795">
      <c r="A795" s="21" t="n">
        <v>45687.637233796</v>
      </c>
      <c r="B795" s="22" t="s">
        <v>891</v>
      </c>
      <c r="C795" s="22" t="s">
        <v>909</v>
      </c>
      <c r="D795" s="22" t="s">
        <v>891</v>
      </c>
      <c r="E795" s="22" t="s">
        <v>891</v>
      </c>
      <c r="F795" s="22" t="s">
        <v>20</v>
      </c>
      <c r="G795" s="23" t="n">
        <v>1</v>
      </c>
      <c r="H795" s="24" t="n">
        <v>1</v>
      </c>
      <c r="I795" s="24" t="n">
        <v>912.6</v>
      </c>
      <c r="J795" s="24" t="n">
        <v>0</v>
      </c>
      <c r="K795" s="24" t="n">
        <v>0</v>
      </c>
      <c r="L795" s="24" t="n">
        <v>0</v>
      </c>
      <c r="M795" s="6" t="s">
        <f>=I795+J795+K795+L795</f>
      </c>
      <c r="N795" s="24"/>
      <c r="O795" s="22"/>
    </row>
    <row collapsed="false" customFormat="false" customHeight="false" hidden="false" ht="12.1" outlineLevel="0" r="796">
      <c r="A796" s="21" t="n">
        <v>45687.645590278</v>
      </c>
      <c r="B796" s="22" t="s">
        <v>891</v>
      </c>
      <c r="C796" s="22" t="s">
        <v>1065</v>
      </c>
      <c r="D796" s="22" t="s">
        <v>891</v>
      </c>
      <c r="E796" s="22" t="s">
        <v>891</v>
      </c>
      <c r="F796" s="22" t="s">
        <v>20</v>
      </c>
      <c r="G796" s="23" t="n">
        <v>1</v>
      </c>
      <c r="H796" s="24" t="n">
        <v>1</v>
      </c>
      <c r="I796" s="24" t="n">
        <v>137.64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45687.658078704</v>
      </c>
      <c r="B797" s="22" t="s">
        <v>891</v>
      </c>
      <c r="C797" s="22" t="s">
        <v>1009</v>
      </c>
      <c r="D797" s="22" t="s">
        <v>891</v>
      </c>
      <c r="E797" s="22" t="s">
        <v>891</v>
      </c>
      <c r="F797" s="22" t="s">
        <v>20</v>
      </c>
      <c r="G797" s="23" t="n">
        <v>1</v>
      </c>
      <c r="H797" s="24" t="n">
        <v>1</v>
      </c>
      <c r="I797" s="24" t="n">
        <v>51.52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1" t="n">
        <v>45691.474548611</v>
      </c>
      <c r="B798" s="22" t="s">
        <v>891</v>
      </c>
      <c r="C798" s="22" t="s">
        <v>1111</v>
      </c>
      <c r="D798" s="22" t="s">
        <v>891</v>
      </c>
      <c r="E798" s="22" t="s">
        <v>891</v>
      </c>
      <c r="F798" s="22" t="s">
        <v>20</v>
      </c>
      <c r="G798" s="23" t="n">
        <v>1</v>
      </c>
      <c r="H798" s="24" t="n">
        <v>1</v>
      </c>
      <c r="I798" s="24" t="n">
        <v>179.52</v>
      </c>
      <c r="J798" s="24" t="n">
        <v>0</v>
      </c>
      <c r="K798" s="24" t="n">
        <v>0</v>
      </c>
      <c r="L798" s="24" t="n">
        <v>0</v>
      </c>
      <c r="M798" s="6" t="s">
        <f>=I798+J798+K798+L798</f>
      </c>
      <c r="N798" s="24"/>
      <c r="O798" s="22"/>
    </row>
    <row collapsed="false" customFormat="false" customHeight="false" hidden="false" ht="12.1" outlineLevel="0" r="799">
      <c r="A799" s="21" t="n">
        <v>45691.51619213</v>
      </c>
      <c r="B799" s="22" t="s">
        <v>891</v>
      </c>
      <c r="C799" s="22" t="s">
        <v>1086</v>
      </c>
      <c r="D799" s="22" t="s">
        <v>891</v>
      </c>
      <c r="E799" s="22" t="s">
        <v>891</v>
      </c>
      <c r="F799" s="22" t="s">
        <v>20</v>
      </c>
      <c r="G799" s="23" t="n">
        <v>1</v>
      </c>
      <c r="H799" s="24" t="n">
        <v>1</v>
      </c>
      <c r="I799" s="24" t="n">
        <v>23.86</v>
      </c>
      <c r="J799" s="24" t="n">
        <v>0</v>
      </c>
      <c r="K799" s="24" t="n">
        <v>0</v>
      </c>
      <c r="L799" s="24" t="n">
        <v>0</v>
      </c>
      <c r="M799" s="6" t="s">
        <f>=I799+J799+K799+L799</f>
      </c>
      <c r="N799" s="24"/>
      <c r="O799" s="22"/>
    </row>
    <row collapsed="false" customFormat="false" customHeight="false" hidden="false" ht="12.1" outlineLevel="0" r="800">
      <c r="A800" s="21" t="n">
        <v>45692.530613426</v>
      </c>
      <c r="B800" s="22" t="s">
        <v>891</v>
      </c>
      <c r="C800" s="22" t="s">
        <v>947</v>
      </c>
      <c r="D800" s="22" t="s">
        <v>891</v>
      </c>
      <c r="E800" s="22" t="s">
        <v>891</v>
      </c>
      <c r="F800" s="22" t="s">
        <v>20</v>
      </c>
      <c r="G800" s="23" t="n">
        <v>1</v>
      </c>
      <c r="H800" s="24" t="n">
        <v>1</v>
      </c>
      <c r="I800" s="24" t="n">
        <v>53.1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4"/>
      <c r="O800" s="22"/>
    </row>
    <row collapsed="false" customFormat="false" customHeight="false" hidden="false" ht="12.1" outlineLevel="0" r="801">
      <c r="A801" s="21" t="n">
        <v>45694.514039352</v>
      </c>
      <c r="B801" s="22" t="s">
        <v>891</v>
      </c>
      <c r="C801" s="22" t="s">
        <v>1066</v>
      </c>
      <c r="D801" s="22" t="s">
        <v>891</v>
      </c>
      <c r="E801" s="22" t="s">
        <v>891</v>
      </c>
      <c r="F801" s="22" t="s">
        <v>20</v>
      </c>
      <c r="G801" s="23" t="n">
        <v>1</v>
      </c>
      <c r="H801" s="24" t="n">
        <v>1</v>
      </c>
      <c r="I801" s="24" t="n">
        <v>39.16</v>
      </c>
      <c r="J801" s="24" t="n">
        <v>0</v>
      </c>
      <c r="K801" s="24" t="n">
        <v>0</v>
      </c>
      <c r="L801" s="24" t="n">
        <v>0</v>
      </c>
      <c r="M801" s="6" t="s">
        <f>=I801+J801+K801+L801</f>
      </c>
      <c r="N801" s="24"/>
      <c r="O801" s="22"/>
    </row>
    <row collapsed="false" customFormat="false" customHeight="false" hidden="false" ht="12.1" outlineLevel="0" r="802">
      <c r="A802" s="21" t="n">
        <v>45700.732604167</v>
      </c>
      <c r="B802" s="22" t="s">
        <v>891</v>
      </c>
      <c r="C802" s="22" t="s">
        <v>1042</v>
      </c>
      <c r="D802" s="22" t="s">
        <v>891</v>
      </c>
      <c r="E802" s="22" t="s">
        <v>891</v>
      </c>
      <c r="F802" s="22" t="s">
        <v>20</v>
      </c>
      <c r="G802" s="23" t="n">
        <v>1</v>
      </c>
      <c r="H802" s="24" t="n">
        <v>1</v>
      </c>
      <c r="I802" s="24" t="n">
        <v>4.67</v>
      </c>
      <c r="J802" s="24" t="n">
        <v>0</v>
      </c>
      <c r="K802" s="24" t="n">
        <v>0</v>
      </c>
      <c r="L802" s="24" t="n">
        <v>0</v>
      </c>
      <c r="M802" s="6" t="s">
        <f>=I802+J802+K802+L802</f>
      </c>
      <c r="N802" s="24"/>
      <c r="O802" s="22"/>
    </row>
    <row collapsed="false" customFormat="false" customHeight="false" hidden="false" ht="12.1" outlineLevel="0" r="803">
      <c r="A803" s="21" t="n">
        <v>45701.437581019</v>
      </c>
      <c r="B803" s="22" t="s">
        <v>891</v>
      </c>
      <c r="C803" s="22" t="s">
        <v>948</v>
      </c>
      <c r="D803" s="22" t="s">
        <v>891</v>
      </c>
      <c r="E803" s="22" t="s">
        <v>891</v>
      </c>
      <c r="F803" s="22" t="s">
        <v>20</v>
      </c>
      <c r="G803" s="23" t="n">
        <v>1</v>
      </c>
      <c r="H803" s="24" t="n">
        <v>1</v>
      </c>
      <c r="I803" s="24" t="n">
        <v>628.2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4"/>
      <c r="O803" s="22"/>
    </row>
    <row collapsed="false" customFormat="false" customHeight="false" hidden="false" ht="12.1" outlineLevel="0" r="804">
      <c r="A804" s="21" t="n">
        <v>45702.447835648</v>
      </c>
      <c r="B804" s="22" t="s">
        <v>884</v>
      </c>
      <c r="C804" s="22" t="s">
        <v>336</v>
      </c>
      <c r="D804" s="22" t="s">
        <v>884</v>
      </c>
      <c r="E804" s="22" t="s">
        <v>884</v>
      </c>
      <c r="F804" s="22" t="s">
        <v>20</v>
      </c>
      <c r="G804" s="23" t="n">
        <v>1</v>
      </c>
      <c r="H804" s="24" t="n">
        <v>1</v>
      </c>
      <c r="I804" s="24" t="n">
        <v>11200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2"/>
    </row>
    <row collapsed="false" customFormat="false" customHeight="false" hidden="false" ht="12.1" outlineLevel="0" r="805">
      <c r="A805" s="20" t="n">
        <v>45702.455590278</v>
      </c>
      <c r="B805" s="2" t="s">
        <v>99</v>
      </c>
      <c r="C805" s="2" t="s">
        <v>897</v>
      </c>
      <c r="D805" s="2" t="s">
        <v>757</v>
      </c>
      <c r="E805" s="2" t="s">
        <v>96</v>
      </c>
      <c r="F805" s="2" t="s">
        <v>20</v>
      </c>
      <c r="G805" s="7" t="n">
        <v>1</v>
      </c>
      <c r="H805" s="6" t="n">
        <v>104</v>
      </c>
      <c r="I805" s="6" t="n">
        <v>-1040</v>
      </c>
      <c r="J805" s="6" t="n">
        <v>-33.29</v>
      </c>
      <c r="K805" s="6" t="n">
        <v>-3.12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45702.455798611</v>
      </c>
      <c r="B806" s="2" t="s">
        <v>105</v>
      </c>
      <c r="C806" s="2" t="s">
        <v>895</v>
      </c>
      <c r="D806" s="2" t="s">
        <v>757</v>
      </c>
      <c r="E806" s="2" t="s">
        <v>96</v>
      </c>
      <c r="F806" s="2" t="s">
        <v>20</v>
      </c>
      <c r="G806" s="7" t="n">
        <v>1</v>
      </c>
      <c r="H806" s="6" t="n">
        <v>103.796</v>
      </c>
      <c r="I806" s="6" t="n">
        <v>-1037.96</v>
      </c>
      <c r="J806" s="6" t="n">
        <v>-49.58</v>
      </c>
      <c r="K806" s="6" t="n">
        <v>-3.11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45702.456122685</v>
      </c>
      <c r="B807" s="2" t="s">
        <v>129</v>
      </c>
      <c r="C807" s="2" t="s">
        <v>1081</v>
      </c>
      <c r="D807" s="2" t="s">
        <v>757</v>
      </c>
      <c r="E807" s="2" t="s">
        <v>96</v>
      </c>
      <c r="F807" s="2" t="s">
        <v>20</v>
      </c>
      <c r="G807" s="7" t="n">
        <v>1</v>
      </c>
      <c r="H807" s="6" t="n">
        <v>82.88</v>
      </c>
      <c r="I807" s="6" t="n">
        <v>-828.8</v>
      </c>
      <c r="J807" s="6" t="n">
        <v>-25.17</v>
      </c>
      <c r="K807" s="6" t="n">
        <v>-2.49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45702.456400463</v>
      </c>
      <c r="B808" s="2" t="s">
        <v>144</v>
      </c>
      <c r="C808" s="2" t="s">
        <v>1112</v>
      </c>
      <c r="D808" s="2" t="s">
        <v>757</v>
      </c>
      <c r="E808" s="2" t="s">
        <v>96</v>
      </c>
      <c r="F808" s="2" t="s">
        <v>20</v>
      </c>
      <c r="G808" s="7" t="n">
        <v>1</v>
      </c>
      <c r="H808" s="6" t="n">
        <v>83.653</v>
      </c>
      <c r="I808" s="6" t="n">
        <v>-836.53</v>
      </c>
      <c r="J808" s="6" t="n">
        <v>-47.67</v>
      </c>
      <c r="K808" s="6" t="n">
        <v>-2.51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45702.456574074</v>
      </c>
      <c r="B809" s="2" t="s">
        <v>147</v>
      </c>
      <c r="C809" s="2" t="s">
        <v>1080</v>
      </c>
      <c r="D809" s="2" t="s">
        <v>757</v>
      </c>
      <c r="E809" s="2" t="s">
        <v>96</v>
      </c>
      <c r="F809" s="2" t="s">
        <v>20</v>
      </c>
      <c r="G809" s="7" t="n">
        <v>1</v>
      </c>
      <c r="H809" s="6" t="n">
        <v>83.441</v>
      </c>
      <c r="I809" s="6" t="n">
        <v>-834.41</v>
      </c>
      <c r="J809" s="6" t="n">
        <v>-27.52</v>
      </c>
      <c r="K809" s="6" t="n">
        <v>-2.5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45702.456782407</v>
      </c>
      <c r="B810" s="2" t="s">
        <v>126</v>
      </c>
      <c r="C810" s="2" t="s">
        <v>1027</v>
      </c>
      <c r="D810" s="2" t="s">
        <v>757</v>
      </c>
      <c r="E810" s="2" t="s">
        <v>96</v>
      </c>
      <c r="F810" s="2" t="s">
        <v>20</v>
      </c>
      <c r="G810" s="7" t="n">
        <v>1</v>
      </c>
      <c r="H810" s="6" t="n">
        <v>73</v>
      </c>
      <c r="I810" s="6" t="n">
        <v>-730</v>
      </c>
      <c r="J810" s="6" t="n">
        <v>-33.76</v>
      </c>
      <c r="K810" s="6" t="n">
        <v>-2.19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45702.456956019</v>
      </c>
      <c r="B811" s="2" t="s">
        <v>132</v>
      </c>
      <c r="C811" s="2" t="s">
        <v>927</v>
      </c>
      <c r="D811" s="2" t="s">
        <v>757</v>
      </c>
      <c r="E811" s="2" t="s">
        <v>96</v>
      </c>
      <c r="F811" s="2" t="s">
        <v>20</v>
      </c>
      <c r="G811" s="7" t="n">
        <v>1</v>
      </c>
      <c r="H811" s="6" t="n">
        <v>66.242</v>
      </c>
      <c r="I811" s="6" t="n">
        <v>-662.42</v>
      </c>
      <c r="J811" s="6" t="n">
        <v>-29.11</v>
      </c>
      <c r="K811" s="6" t="n">
        <v>-1.99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45702.457164352</v>
      </c>
      <c r="B812" s="2" t="s">
        <v>123</v>
      </c>
      <c r="C812" s="2" t="s">
        <v>1020</v>
      </c>
      <c r="D812" s="2" t="s">
        <v>757</v>
      </c>
      <c r="E812" s="2" t="s">
        <v>96</v>
      </c>
      <c r="F812" s="2" t="s">
        <v>20</v>
      </c>
      <c r="G812" s="7" t="n">
        <v>1</v>
      </c>
      <c r="H812" s="6" t="n">
        <v>75.485</v>
      </c>
      <c r="I812" s="6" t="n">
        <v>-754.85</v>
      </c>
      <c r="J812" s="6" t="n">
        <v>-21.34</v>
      </c>
      <c r="K812" s="6" t="n">
        <v>-2.26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45702.457337963</v>
      </c>
      <c r="B813" s="2" t="s">
        <v>114</v>
      </c>
      <c r="C813" s="2" t="s">
        <v>964</v>
      </c>
      <c r="D813" s="2" t="s">
        <v>757</v>
      </c>
      <c r="E813" s="2" t="s">
        <v>96</v>
      </c>
      <c r="F813" s="2" t="s">
        <v>20</v>
      </c>
      <c r="G813" s="7" t="n">
        <v>1</v>
      </c>
      <c r="H813" s="6" t="n">
        <v>74.473</v>
      </c>
      <c r="I813" s="6" t="n">
        <v>-744.73</v>
      </c>
      <c r="J813" s="6" t="n">
        <v>-25.99</v>
      </c>
      <c r="K813" s="6" t="n">
        <v>-2.23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45702.457673611</v>
      </c>
      <c r="B814" s="2" t="s">
        <v>156</v>
      </c>
      <c r="C814" s="2" t="s">
        <v>1113</v>
      </c>
      <c r="D814" s="2" t="s">
        <v>757</v>
      </c>
      <c r="E814" s="2" t="s">
        <v>96</v>
      </c>
      <c r="F814" s="2" t="s">
        <v>20</v>
      </c>
      <c r="G814" s="7" t="n">
        <v>1</v>
      </c>
      <c r="H814" s="6" t="n">
        <v>842</v>
      </c>
      <c r="I814" s="6" t="n">
        <v>-842</v>
      </c>
      <c r="J814" s="6" t="n">
        <v>-43.07</v>
      </c>
      <c r="K814" s="6" t="n">
        <v>-2.53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45702.457858796</v>
      </c>
      <c r="B815" s="2" t="s">
        <v>99</v>
      </c>
      <c r="C815" s="2" t="s">
        <v>897</v>
      </c>
      <c r="D815" s="2" t="s">
        <v>757</v>
      </c>
      <c r="E815" s="2" t="s">
        <v>96</v>
      </c>
      <c r="F815" s="2" t="s">
        <v>20</v>
      </c>
      <c r="G815" s="7" t="n">
        <v>1</v>
      </c>
      <c r="H815" s="6" t="n">
        <v>104</v>
      </c>
      <c r="I815" s="6" t="n">
        <v>-1040</v>
      </c>
      <c r="J815" s="6" t="n">
        <v>-33.29</v>
      </c>
      <c r="K815" s="6" t="n">
        <v>-3.12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45702.458043981</v>
      </c>
      <c r="B816" s="2" t="s">
        <v>105</v>
      </c>
      <c r="C816" s="2" t="s">
        <v>895</v>
      </c>
      <c r="D816" s="2" t="s">
        <v>757</v>
      </c>
      <c r="E816" s="2" t="s">
        <v>96</v>
      </c>
      <c r="F816" s="2" t="s">
        <v>20</v>
      </c>
      <c r="G816" s="7" t="n">
        <v>1</v>
      </c>
      <c r="H816" s="6" t="n">
        <v>103.792</v>
      </c>
      <c r="I816" s="6" t="n">
        <v>-1037.92</v>
      </c>
      <c r="J816" s="6" t="n">
        <v>-49.58</v>
      </c>
      <c r="K816" s="6" t="n">
        <v>-3.11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45702.458252315</v>
      </c>
      <c r="B817" s="2" t="s">
        <v>129</v>
      </c>
      <c r="C817" s="2" t="s">
        <v>1081</v>
      </c>
      <c r="D817" s="2" t="s">
        <v>757</v>
      </c>
      <c r="E817" s="2" t="s">
        <v>96</v>
      </c>
      <c r="F817" s="2" t="s">
        <v>20</v>
      </c>
      <c r="G817" s="7" t="n">
        <v>1</v>
      </c>
      <c r="H817" s="6" t="n">
        <v>82.939</v>
      </c>
      <c r="I817" s="6" t="n">
        <v>-829.39</v>
      </c>
      <c r="J817" s="6" t="n">
        <v>-25.17</v>
      </c>
      <c r="K817" s="6" t="n">
        <v>-2.49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45702.45849537</v>
      </c>
      <c r="B818" s="2" t="s">
        <v>144</v>
      </c>
      <c r="C818" s="2" t="s">
        <v>1112</v>
      </c>
      <c r="D818" s="2" t="s">
        <v>757</v>
      </c>
      <c r="E818" s="2" t="s">
        <v>96</v>
      </c>
      <c r="F818" s="2" t="s">
        <v>20</v>
      </c>
      <c r="G818" s="7" t="n">
        <v>1</v>
      </c>
      <c r="H818" s="6" t="n">
        <v>83.649</v>
      </c>
      <c r="I818" s="6" t="n">
        <v>-836.49</v>
      </c>
      <c r="J818" s="6" t="n">
        <v>-47.67</v>
      </c>
      <c r="K818" s="6" t="n">
        <v>-2.51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45702.458657407</v>
      </c>
      <c r="B819" s="2" t="s">
        <v>129</v>
      </c>
      <c r="C819" s="2" t="s">
        <v>1081</v>
      </c>
      <c r="D819" s="2" t="s">
        <v>757</v>
      </c>
      <c r="E819" s="2" t="s">
        <v>96</v>
      </c>
      <c r="F819" s="2" t="s">
        <v>20</v>
      </c>
      <c r="G819" s="7" t="n">
        <v>1</v>
      </c>
      <c r="H819" s="6" t="n">
        <v>82.94</v>
      </c>
      <c r="I819" s="6" t="n">
        <v>-829.4</v>
      </c>
      <c r="J819" s="6" t="n">
        <v>-25.17</v>
      </c>
      <c r="K819" s="6" t="n">
        <v>-2.49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45702.458842593</v>
      </c>
      <c r="B820" s="2" t="s">
        <v>126</v>
      </c>
      <c r="C820" s="2" t="s">
        <v>1027</v>
      </c>
      <c r="D820" s="2" t="s">
        <v>757</v>
      </c>
      <c r="E820" s="2" t="s">
        <v>96</v>
      </c>
      <c r="F820" s="2" t="s">
        <v>20</v>
      </c>
      <c r="G820" s="7" t="n">
        <v>1</v>
      </c>
      <c r="H820" s="6" t="n">
        <v>73.129</v>
      </c>
      <c r="I820" s="6" t="n">
        <v>-731.29</v>
      </c>
      <c r="J820" s="6" t="n">
        <v>-33.76</v>
      </c>
      <c r="K820" s="6" t="n">
        <v>-2.19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0" t="n">
        <v>45702.45900463</v>
      </c>
      <c r="B821" s="2" t="s">
        <v>132</v>
      </c>
      <c r="C821" s="2" t="s">
        <v>927</v>
      </c>
      <c r="D821" s="2" t="s">
        <v>757</v>
      </c>
      <c r="E821" s="2" t="s">
        <v>96</v>
      </c>
      <c r="F821" s="2" t="s">
        <v>20</v>
      </c>
      <c r="G821" s="7" t="n">
        <v>1</v>
      </c>
      <c r="H821" s="6" t="n">
        <v>66.394</v>
      </c>
      <c r="I821" s="6" t="n">
        <v>-663.94</v>
      </c>
      <c r="J821" s="6" t="n">
        <v>-29.11</v>
      </c>
      <c r="K821" s="6" t="n">
        <v>-1.99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1" t="n">
        <v>45705.510520833</v>
      </c>
      <c r="B822" s="22" t="s">
        <v>891</v>
      </c>
      <c r="C822" s="22" t="s">
        <v>1001</v>
      </c>
      <c r="D822" s="22" t="s">
        <v>891</v>
      </c>
      <c r="E822" s="22" t="s">
        <v>891</v>
      </c>
      <c r="F822" s="22" t="s">
        <v>20</v>
      </c>
      <c r="G822" s="23" t="n">
        <v>1</v>
      </c>
      <c r="H822" s="24" t="n">
        <v>1</v>
      </c>
      <c r="I822" s="24" t="n">
        <v>51.61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4"/>
      <c r="O822" s="22"/>
    </row>
    <row collapsed="false" customFormat="false" customHeight="false" hidden="false" ht="12.1" outlineLevel="0" r="823">
      <c r="A823" s="21" t="n">
        <v>45705.514791667</v>
      </c>
      <c r="B823" s="22" t="s">
        <v>891</v>
      </c>
      <c r="C823" s="22" t="s">
        <v>1114</v>
      </c>
      <c r="D823" s="22" t="s">
        <v>891</v>
      </c>
      <c r="E823" s="22" t="s">
        <v>891</v>
      </c>
      <c r="F823" s="22" t="s">
        <v>20</v>
      </c>
      <c r="G823" s="23" t="n">
        <v>1</v>
      </c>
      <c r="H823" s="24" t="n">
        <v>1</v>
      </c>
      <c r="I823" s="24" t="n">
        <v>155.58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1" t="n">
        <v>45706.43306713</v>
      </c>
      <c r="B824" s="22" t="s">
        <v>901</v>
      </c>
      <c r="C824" s="22" t="s">
        <v>1043</v>
      </c>
      <c r="D824" s="22" t="s">
        <v>901</v>
      </c>
      <c r="E824" s="22" t="s">
        <v>901</v>
      </c>
      <c r="F824" s="22" t="s">
        <v>20</v>
      </c>
      <c r="G824" s="23" t="n">
        <v>1</v>
      </c>
      <c r="H824" s="24" t="n">
        <v>1</v>
      </c>
      <c r="I824" s="24" t="n">
        <v>400</v>
      </c>
      <c r="J824" s="24" t="n">
        <v>0</v>
      </c>
      <c r="K824" s="24" t="n">
        <v>0</v>
      </c>
      <c r="L824" s="24" t="n">
        <v>0</v>
      </c>
      <c r="M824" s="6" t="s">
        <f>=I824+J824+K824+L824</f>
      </c>
      <c r="N824" s="24"/>
      <c r="O824" s="22"/>
    </row>
    <row collapsed="false" customFormat="false" customHeight="false" hidden="false" ht="12.1" outlineLevel="0" r="825">
      <c r="A825" s="21" t="n">
        <v>45706.433773148</v>
      </c>
      <c r="B825" s="22" t="s">
        <v>891</v>
      </c>
      <c r="C825" s="22" t="s">
        <v>965</v>
      </c>
      <c r="D825" s="22" t="s">
        <v>891</v>
      </c>
      <c r="E825" s="22" t="s">
        <v>891</v>
      </c>
      <c r="F825" s="22" t="s">
        <v>20</v>
      </c>
      <c r="G825" s="23" t="n">
        <v>1</v>
      </c>
      <c r="H825" s="24" t="n">
        <v>1</v>
      </c>
      <c r="I825" s="24" t="n">
        <v>25.92</v>
      </c>
      <c r="J825" s="24" t="n">
        <v>0</v>
      </c>
      <c r="K825" s="24" t="n">
        <v>0</v>
      </c>
      <c r="L825" s="24" t="n">
        <v>0</v>
      </c>
      <c r="M825" s="6" t="s">
        <f>=I825+J825+K825+L825</f>
      </c>
      <c r="N825" s="24"/>
      <c r="O825" s="22"/>
    </row>
    <row collapsed="false" customFormat="false" customHeight="false" hidden="false" ht="12.1" outlineLevel="0" r="826">
      <c r="A826" s="21" t="n">
        <v>45709.443368056</v>
      </c>
      <c r="B826" s="22" t="s">
        <v>901</v>
      </c>
      <c r="C826" s="22" t="s">
        <v>1026</v>
      </c>
      <c r="D826" s="22" t="s">
        <v>901</v>
      </c>
      <c r="E826" s="22" t="s">
        <v>901</v>
      </c>
      <c r="F826" s="22" t="s">
        <v>20</v>
      </c>
      <c r="G826" s="23" t="n">
        <v>1</v>
      </c>
      <c r="H826" s="24" t="n">
        <v>1</v>
      </c>
      <c r="I826" s="24" t="n">
        <v>125</v>
      </c>
      <c r="J826" s="24" t="n">
        <v>0</v>
      </c>
      <c r="K826" s="24" t="n">
        <v>0</v>
      </c>
      <c r="L826" s="24" t="n">
        <v>0</v>
      </c>
      <c r="M826" s="6" t="s">
        <f>=I826+J826+K826+L826</f>
      </c>
      <c r="N826" s="24"/>
      <c r="O826" s="22"/>
    </row>
    <row collapsed="false" customFormat="false" customHeight="false" hidden="false" ht="12.1" outlineLevel="0" r="827">
      <c r="A827" s="21" t="n">
        <v>45709.44431713</v>
      </c>
      <c r="B827" s="22" t="s">
        <v>891</v>
      </c>
      <c r="C827" s="22" t="s">
        <v>970</v>
      </c>
      <c r="D827" s="22" t="s">
        <v>891</v>
      </c>
      <c r="E827" s="22" t="s">
        <v>891</v>
      </c>
      <c r="F827" s="22" t="s">
        <v>20</v>
      </c>
      <c r="G827" s="23" t="n">
        <v>1</v>
      </c>
      <c r="H827" s="24" t="n">
        <v>1</v>
      </c>
      <c r="I827" s="24" t="n">
        <v>8.66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4"/>
      <c r="O827" s="22"/>
    </row>
    <row collapsed="false" customFormat="false" customHeight="false" hidden="false" ht="12.1" outlineLevel="0" r="828">
      <c r="A828" s="21" t="n">
        <v>45712.399571759</v>
      </c>
      <c r="B828" s="22" t="s">
        <v>891</v>
      </c>
      <c r="C828" s="22" t="s">
        <v>1115</v>
      </c>
      <c r="D828" s="22" t="s">
        <v>891</v>
      </c>
      <c r="E828" s="22" t="s">
        <v>891</v>
      </c>
      <c r="F828" s="22" t="s">
        <v>20</v>
      </c>
      <c r="G828" s="23" t="n">
        <v>1</v>
      </c>
      <c r="H828" s="24" t="n">
        <v>1</v>
      </c>
      <c r="I828" s="24" t="n">
        <v>89.76</v>
      </c>
      <c r="J828" s="24" t="n">
        <v>0</v>
      </c>
      <c r="K828" s="24" t="n">
        <v>0</v>
      </c>
      <c r="L828" s="24" t="n">
        <v>0</v>
      </c>
      <c r="M828" s="6" t="s">
        <f>=I828+J828+K828+L828</f>
      </c>
      <c r="N828" s="24"/>
      <c r="O828" s="22"/>
    </row>
    <row collapsed="false" customFormat="false" customHeight="false" hidden="false" ht="12.1" outlineLevel="0" r="829">
      <c r="A829" s="21" t="n">
        <v>45713.518472222</v>
      </c>
      <c r="B829" s="22" t="s">
        <v>891</v>
      </c>
      <c r="C829" s="22" t="s">
        <v>1079</v>
      </c>
      <c r="D829" s="22" t="s">
        <v>891</v>
      </c>
      <c r="E829" s="22" t="s">
        <v>891</v>
      </c>
      <c r="F829" s="22" t="s">
        <v>20</v>
      </c>
      <c r="G829" s="23" t="n">
        <v>1</v>
      </c>
      <c r="H829" s="24" t="n">
        <v>1</v>
      </c>
      <c r="I829" s="24" t="n">
        <v>11.18</v>
      </c>
      <c r="J829" s="24" t="n">
        <v>0</v>
      </c>
      <c r="K829" s="24" t="n">
        <v>0</v>
      </c>
      <c r="L829" s="24" t="n">
        <v>0</v>
      </c>
      <c r="M829" s="6" t="s">
        <f>=I829+J829+K829+L829</f>
      </c>
      <c r="N829" s="24"/>
      <c r="O829" s="22"/>
    </row>
    <row collapsed="false" customFormat="false" customHeight="false" hidden="false" ht="12.1" outlineLevel="0" r="830">
      <c r="A830" s="21" t="n">
        <v>45713.522118056</v>
      </c>
      <c r="B830" s="22" t="s">
        <v>891</v>
      </c>
      <c r="C830" s="22" t="s">
        <v>1063</v>
      </c>
      <c r="D830" s="22" t="s">
        <v>891</v>
      </c>
      <c r="E830" s="22" t="s">
        <v>891</v>
      </c>
      <c r="F830" s="22" t="s">
        <v>20</v>
      </c>
      <c r="G830" s="23" t="n">
        <v>1</v>
      </c>
      <c r="H830" s="24" t="n">
        <v>1</v>
      </c>
      <c r="I830" s="24" t="n">
        <v>36.32</v>
      </c>
      <c r="J830" s="24" t="n">
        <v>0</v>
      </c>
      <c r="K830" s="24" t="n">
        <v>0</v>
      </c>
      <c r="L830" s="24" t="n">
        <v>0</v>
      </c>
      <c r="M830" s="6" t="s">
        <f>=I830+J830+K830+L830</f>
      </c>
      <c r="N830" s="24"/>
      <c r="O830" s="22"/>
    </row>
    <row collapsed="false" customFormat="false" customHeight="false" hidden="false" ht="12.1" outlineLevel="0" r="831">
      <c r="A831" s="21" t="n">
        <v>45714.43125</v>
      </c>
      <c r="B831" s="22" t="s">
        <v>884</v>
      </c>
      <c r="C831" s="22" t="s">
        <v>683</v>
      </c>
      <c r="D831" s="22" t="s">
        <v>884</v>
      </c>
      <c r="E831" s="22" t="s">
        <v>884</v>
      </c>
      <c r="F831" s="22" t="s">
        <v>20</v>
      </c>
      <c r="G831" s="23" t="n">
        <v>19475</v>
      </c>
      <c r="H831" s="24" t="n">
        <v>1</v>
      </c>
      <c r="I831" s="24" t="n">
        <v>19475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2"/>
    </row>
    <row collapsed="false" customFormat="false" customHeight="false" hidden="false" ht="12.1" outlineLevel="0" r="832">
      <c r="A832" s="20" t="n">
        <v>45714.52900463</v>
      </c>
      <c r="B832" s="2" t="s">
        <v>129</v>
      </c>
      <c r="C832" s="2" t="s">
        <v>1081</v>
      </c>
      <c r="D832" s="2" t="s">
        <v>757</v>
      </c>
      <c r="E832" s="2" t="s">
        <v>96</v>
      </c>
      <c r="F832" s="2" t="s">
        <v>20</v>
      </c>
      <c r="G832" s="7" t="n">
        <v>1</v>
      </c>
      <c r="H832" s="6" t="n">
        <v>79.149</v>
      </c>
      <c r="I832" s="6" t="n">
        <v>-791.49</v>
      </c>
      <c r="J832" s="6" t="n">
        <v>-28.53</v>
      </c>
      <c r="K832" s="6" t="n">
        <v>-2.37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45714.529212963</v>
      </c>
      <c r="B833" s="2" t="s">
        <v>102</v>
      </c>
      <c r="C833" s="2" t="s">
        <v>935</v>
      </c>
      <c r="D833" s="2" t="s">
        <v>757</v>
      </c>
      <c r="E833" s="2" t="s">
        <v>96</v>
      </c>
      <c r="F833" s="2" t="s">
        <v>20</v>
      </c>
      <c r="G833" s="7" t="n">
        <v>1</v>
      </c>
      <c r="H833" s="6" t="n">
        <v>53.799</v>
      </c>
      <c r="I833" s="6" t="n">
        <v>-537.99</v>
      </c>
      <c r="J833" s="6" t="n">
        <v>-16.53</v>
      </c>
      <c r="K833" s="6" t="n">
        <v>-1.61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0" t="n">
        <v>45714.529525463</v>
      </c>
      <c r="B834" s="2" t="s">
        <v>147</v>
      </c>
      <c r="C834" s="2" t="s">
        <v>1080</v>
      </c>
      <c r="D834" s="2" t="s">
        <v>757</v>
      </c>
      <c r="E834" s="2" t="s">
        <v>96</v>
      </c>
      <c r="F834" s="2" t="s">
        <v>20</v>
      </c>
      <c r="G834" s="7" t="n">
        <v>1</v>
      </c>
      <c r="H834" s="6" t="n">
        <v>79.579</v>
      </c>
      <c r="I834" s="6" t="n">
        <v>-795.79</v>
      </c>
      <c r="J834" s="6" t="n">
        <v>-30.88</v>
      </c>
      <c r="K834" s="6" t="n">
        <v>-2.39</v>
      </c>
      <c r="L834" s="6" t="n">
        <v>0</v>
      </c>
      <c r="M834" s="6" t="s">
        <f>=I834+J834+K834+L834</f>
      </c>
      <c r="N834" s="6"/>
      <c r="O834" s="2"/>
    </row>
    <row collapsed="false" customFormat="false" customHeight="false" hidden="false" ht="12.1" outlineLevel="0" r="835">
      <c r="A835" s="20" t="n">
        <v>45714.529756944</v>
      </c>
      <c r="B835" s="2" t="s">
        <v>95</v>
      </c>
      <c r="C835" s="2" t="s">
        <v>893</v>
      </c>
      <c r="D835" s="2" t="s">
        <v>757</v>
      </c>
      <c r="E835" s="2" t="s">
        <v>96</v>
      </c>
      <c r="F835" s="2" t="s">
        <v>20</v>
      </c>
      <c r="G835" s="7" t="n">
        <v>1</v>
      </c>
      <c r="H835" s="6" t="n">
        <v>53.838</v>
      </c>
      <c r="I835" s="6" t="n">
        <v>-538.38</v>
      </c>
      <c r="J835" s="6" t="n">
        <v>-4.85</v>
      </c>
      <c r="K835" s="6" t="n">
        <v>-1.62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45714.530023148</v>
      </c>
      <c r="B836" s="2" t="s">
        <v>120</v>
      </c>
      <c r="C836" s="2" t="s">
        <v>995</v>
      </c>
      <c r="D836" s="2" t="s">
        <v>757</v>
      </c>
      <c r="E836" s="2" t="s">
        <v>96</v>
      </c>
      <c r="F836" s="2" t="s">
        <v>20</v>
      </c>
      <c r="G836" s="7" t="n">
        <v>1</v>
      </c>
      <c r="H836" s="6" t="n">
        <v>69.525</v>
      </c>
      <c r="I836" s="6" t="n">
        <v>-695.25</v>
      </c>
      <c r="J836" s="6" t="n">
        <v>-22.82</v>
      </c>
      <c r="K836" s="6" t="n">
        <v>-2.09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45714.530555556</v>
      </c>
      <c r="B837" s="2" t="s">
        <v>144</v>
      </c>
      <c r="C837" s="2" t="s">
        <v>1112</v>
      </c>
      <c r="D837" s="2" t="s">
        <v>757</v>
      </c>
      <c r="E837" s="2" t="s">
        <v>96</v>
      </c>
      <c r="F837" s="2" t="s">
        <v>20</v>
      </c>
      <c r="G837" s="7" t="n">
        <v>1</v>
      </c>
      <c r="H837" s="6" t="n">
        <v>80.47</v>
      </c>
      <c r="I837" s="6" t="n">
        <v>-804.7</v>
      </c>
      <c r="J837" s="6" t="n">
        <v>-50.96</v>
      </c>
      <c r="K837" s="6" t="n">
        <v>-2.41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0" t="n">
        <v>45714.530729167</v>
      </c>
      <c r="B838" s="2" t="s">
        <v>108</v>
      </c>
      <c r="C838" s="2" t="s">
        <v>938</v>
      </c>
      <c r="D838" s="2" t="s">
        <v>757</v>
      </c>
      <c r="E838" s="2" t="s">
        <v>96</v>
      </c>
      <c r="F838" s="2" t="s">
        <v>20</v>
      </c>
      <c r="G838" s="7" t="n">
        <v>1</v>
      </c>
      <c r="H838" s="6" t="n">
        <v>56.6</v>
      </c>
      <c r="I838" s="6" t="n">
        <v>-566</v>
      </c>
      <c r="J838" s="6" t="n">
        <v>-2.88</v>
      </c>
      <c r="K838" s="6" t="n">
        <v>-1.7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45714.530949074</v>
      </c>
      <c r="B839" s="2" t="s">
        <v>111</v>
      </c>
      <c r="C839" s="2" t="s">
        <v>928</v>
      </c>
      <c r="D839" s="2" t="s">
        <v>757</v>
      </c>
      <c r="E839" s="2" t="s">
        <v>96</v>
      </c>
      <c r="F839" s="2" t="s">
        <v>20</v>
      </c>
      <c r="G839" s="7" t="n">
        <v>1</v>
      </c>
      <c r="H839" s="6" t="n">
        <v>57.475</v>
      </c>
      <c r="I839" s="6" t="n">
        <v>-574.75</v>
      </c>
      <c r="J839" s="6" t="n">
        <v>-31.22</v>
      </c>
      <c r="K839" s="6" t="n">
        <v>-1.72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0" t="n">
        <v>45714.531527778</v>
      </c>
      <c r="B840" s="2" t="s">
        <v>99</v>
      </c>
      <c r="C840" s="2" t="s">
        <v>897</v>
      </c>
      <c r="D840" s="2" t="s">
        <v>757</v>
      </c>
      <c r="E840" s="2" t="s">
        <v>96</v>
      </c>
      <c r="F840" s="2" t="s">
        <v>20</v>
      </c>
      <c r="G840" s="7" t="n">
        <v>1</v>
      </c>
      <c r="H840" s="6" t="n">
        <v>104.245</v>
      </c>
      <c r="I840" s="6" t="n">
        <v>-1042.45</v>
      </c>
      <c r="J840" s="6" t="n">
        <v>-38.75</v>
      </c>
      <c r="K840" s="6" t="n">
        <v>-3.13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45714.531851852</v>
      </c>
      <c r="B841" s="2" t="s">
        <v>105</v>
      </c>
      <c r="C841" s="2" t="s">
        <v>895</v>
      </c>
      <c r="D841" s="2" t="s">
        <v>757</v>
      </c>
      <c r="E841" s="2" t="s">
        <v>96</v>
      </c>
      <c r="F841" s="2" t="s">
        <v>20</v>
      </c>
      <c r="G841" s="7" t="n">
        <v>1</v>
      </c>
      <c r="H841" s="6" t="n">
        <v>103.66</v>
      </c>
      <c r="I841" s="6" t="n">
        <v>-1036.6</v>
      </c>
      <c r="J841" s="6" t="n">
        <v>-54.74</v>
      </c>
      <c r="K841" s="6" t="n">
        <v>-3.11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45714.532037037</v>
      </c>
      <c r="B842" s="2" t="s">
        <v>129</v>
      </c>
      <c r="C842" s="2" t="s">
        <v>1081</v>
      </c>
      <c r="D842" s="2" t="s">
        <v>757</v>
      </c>
      <c r="E842" s="2" t="s">
        <v>96</v>
      </c>
      <c r="F842" s="2" t="s">
        <v>20</v>
      </c>
      <c r="G842" s="7" t="n">
        <v>1</v>
      </c>
      <c r="H842" s="6" t="n">
        <v>79.149</v>
      </c>
      <c r="I842" s="6" t="n">
        <v>-791.49</v>
      </c>
      <c r="J842" s="6" t="n">
        <v>-28.53</v>
      </c>
      <c r="K842" s="6" t="n">
        <v>-2.37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45714.532210648</v>
      </c>
      <c r="B843" s="2" t="s">
        <v>147</v>
      </c>
      <c r="C843" s="2" t="s">
        <v>1080</v>
      </c>
      <c r="D843" s="2" t="s">
        <v>757</v>
      </c>
      <c r="E843" s="2" t="s">
        <v>96</v>
      </c>
      <c r="F843" s="2" t="s">
        <v>20</v>
      </c>
      <c r="G843" s="7" t="n">
        <v>1</v>
      </c>
      <c r="H843" s="6" t="n">
        <v>79.578</v>
      </c>
      <c r="I843" s="6" t="n">
        <v>-795.78</v>
      </c>
      <c r="J843" s="6" t="n">
        <v>-30.88</v>
      </c>
      <c r="K843" s="6" t="n">
        <v>-2.39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45714.532384259</v>
      </c>
      <c r="B844" s="2" t="s">
        <v>156</v>
      </c>
      <c r="C844" s="2" t="s">
        <v>1113</v>
      </c>
      <c r="D844" s="2" t="s">
        <v>757</v>
      </c>
      <c r="E844" s="2" t="s">
        <v>96</v>
      </c>
      <c r="F844" s="2" t="s">
        <v>20</v>
      </c>
      <c r="G844" s="7" t="n">
        <v>1</v>
      </c>
      <c r="H844" s="6" t="n">
        <v>807.2</v>
      </c>
      <c r="I844" s="6" t="n">
        <v>-807.2</v>
      </c>
      <c r="J844" s="6" t="n">
        <v>-46.36</v>
      </c>
      <c r="K844" s="6" t="n">
        <v>-2.42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45714.532534722</v>
      </c>
      <c r="B845" s="2" t="s">
        <v>144</v>
      </c>
      <c r="C845" s="2" t="s">
        <v>1112</v>
      </c>
      <c r="D845" s="2" t="s">
        <v>757</v>
      </c>
      <c r="E845" s="2" t="s">
        <v>96</v>
      </c>
      <c r="F845" s="2" t="s">
        <v>20</v>
      </c>
      <c r="G845" s="7" t="n">
        <v>1</v>
      </c>
      <c r="H845" s="6" t="n">
        <v>80.47</v>
      </c>
      <c r="I845" s="6" t="n">
        <v>-804.7</v>
      </c>
      <c r="J845" s="6" t="n">
        <v>-50.96</v>
      </c>
      <c r="K845" s="6" t="n">
        <v>-2.41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45714.532743056</v>
      </c>
      <c r="B846" s="2" t="s">
        <v>114</v>
      </c>
      <c r="C846" s="2" t="s">
        <v>964</v>
      </c>
      <c r="D846" s="2" t="s">
        <v>757</v>
      </c>
      <c r="E846" s="2" t="s">
        <v>96</v>
      </c>
      <c r="F846" s="2" t="s">
        <v>20</v>
      </c>
      <c r="G846" s="7" t="n">
        <v>1</v>
      </c>
      <c r="H846" s="6" t="n">
        <v>72.94</v>
      </c>
      <c r="I846" s="6" t="n">
        <v>-729.4</v>
      </c>
      <c r="J846" s="6" t="n">
        <v>-28.09</v>
      </c>
      <c r="K846" s="6" t="n">
        <v>-2.19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45714.532905093</v>
      </c>
      <c r="B847" s="2" t="s">
        <v>135</v>
      </c>
      <c r="C847" s="2" t="s">
        <v>894</v>
      </c>
      <c r="D847" s="2" t="s">
        <v>757</v>
      </c>
      <c r="E847" s="2" t="s">
        <v>96</v>
      </c>
      <c r="F847" s="2" t="s">
        <v>20</v>
      </c>
      <c r="G847" s="7" t="n">
        <v>1</v>
      </c>
      <c r="H847" s="6" t="n">
        <v>60.591</v>
      </c>
      <c r="I847" s="6" t="n">
        <v>-605.91</v>
      </c>
      <c r="J847" s="6" t="n">
        <v>-19.66</v>
      </c>
      <c r="K847" s="6" t="n">
        <v>-1.82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45714.533078704</v>
      </c>
      <c r="B848" s="2" t="s">
        <v>126</v>
      </c>
      <c r="C848" s="2" t="s">
        <v>1027</v>
      </c>
      <c r="D848" s="2" t="s">
        <v>757</v>
      </c>
      <c r="E848" s="2" t="s">
        <v>96</v>
      </c>
      <c r="F848" s="2" t="s">
        <v>20</v>
      </c>
      <c r="G848" s="7" t="n">
        <v>1</v>
      </c>
      <c r="H848" s="6" t="n">
        <v>72.265</v>
      </c>
      <c r="I848" s="6" t="n">
        <v>-722.65</v>
      </c>
      <c r="J848" s="6" t="n">
        <v>-36.09</v>
      </c>
      <c r="K848" s="6" t="n">
        <v>-2.17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45714.533240741</v>
      </c>
      <c r="B849" s="2" t="s">
        <v>117</v>
      </c>
      <c r="C849" s="2" t="s">
        <v>889</v>
      </c>
      <c r="D849" s="2" t="s">
        <v>757</v>
      </c>
      <c r="E849" s="2" t="s">
        <v>96</v>
      </c>
      <c r="F849" s="2" t="s">
        <v>20</v>
      </c>
      <c r="G849" s="7" t="n">
        <v>1</v>
      </c>
      <c r="H849" s="6" t="n">
        <v>63.605</v>
      </c>
      <c r="I849" s="6" t="n">
        <v>-636.05</v>
      </c>
      <c r="J849" s="6" t="n">
        <v>-26.19</v>
      </c>
      <c r="K849" s="6" t="n">
        <v>-1.91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45714.533414352</v>
      </c>
      <c r="B850" s="2" t="s">
        <v>99</v>
      </c>
      <c r="C850" s="2" t="s">
        <v>897</v>
      </c>
      <c r="D850" s="2" t="s">
        <v>757</v>
      </c>
      <c r="E850" s="2" t="s">
        <v>96</v>
      </c>
      <c r="F850" s="2" t="s">
        <v>20</v>
      </c>
      <c r="G850" s="7" t="n">
        <v>1</v>
      </c>
      <c r="H850" s="6" t="n">
        <v>104.245</v>
      </c>
      <c r="I850" s="6" t="n">
        <v>-1042.45</v>
      </c>
      <c r="J850" s="6" t="n">
        <v>-38.75</v>
      </c>
      <c r="K850" s="6" t="n">
        <v>-3.13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45714.533576389</v>
      </c>
      <c r="B851" s="2" t="s">
        <v>105</v>
      </c>
      <c r="C851" s="2" t="s">
        <v>895</v>
      </c>
      <c r="D851" s="2" t="s">
        <v>757</v>
      </c>
      <c r="E851" s="2" t="s">
        <v>96</v>
      </c>
      <c r="F851" s="2" t="s">
        <v>20</v>
      </c>
      <c r="G851" s="7" t="n">
        <v>1</v>
      </c>
      <c r="H851" s="6" t="n">
        <v>103.675</v>
      </c>
      <c r="I851" s="6" t="n">
        <v>-1036.75</v>
      </c>
      <c r="J851" s="6" t="n">
        <v>-54.74</v>
      </c>
      <c r="K851" s="6" t="n">
        <v>-3.11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0" t="n">
        <v>45714.533761574</v>
      </c>
      <c r="B852" s="2" t="s">
        <v>129</v>
      </c>
      <c r="C852" s="2" t="s">
        <v>1081</v>
      </c>
      <c r="D852" s="2" t="s">
        <v>757</v>
      </c>
      <c r="E852" s="2" t="s">
        <v>96</v>
      </c>
      <c r="F852" s="2" t="s">
        <v>20</v>
      </c>
      <c r="G852" s="7" t="n">
        <v>1</v>
      </c>
      <c r="H852" s="6" t="n">
        <v>79.13</v>
      </c>
      <c r="I852" s="6" t="n">
        <v>-791.3</v>
      </c>
      <c r="J852" s="6" t="n">
        <v>-28.53</v>
      </c>
      <c r="K852" s="6" t="n">
        <v>-2.37</v>
      </c>
      <c r="L852" s="6" t="n">
        <v>0</v>
      </c>
      <c r="M852" s="6" t="s">
        <f>=I852+J852+K852+L852</f>
      </c>
      <c r="N852" s="6"/>
      <c r="O852" s="2"/>
    </row>
    <row collapsed="false" customFormat="false" customHeight="false" hidden="false" ht="12.1" outlineLevel="0" r="853">
      <c r="A853" s="20" t="n">
        <v>45714.533912037</v>
      </c>
      <c r="B853" s="2" t="s">
        <v>147</v>
      </c>
      <c r="C853" s="2" t="s">
        <v>1080</v>
      </c>
      <c r="D853" s="2" t="s">
        <v>757</v>
      </c>
      <c r="E853" s="2" t="s">
        <v>96</v>
      </c>
      <c r="F853" s="2" t="s">
        <v>20</v>
      </c>
      <c r="G853" s="7" t="n">
        <v>1</v>
      </c>
      <c r="H853" s="6" t="n">
        <v>79.598</v>
      </c>
      <c r="I853" s="6" t="n">
        <v>-795.98</v>
      </c>
      <c r="J853" s="6" t="n">
        <v>-30.88</v>
      </c>
      <c r="K853" s="6" t="n">
        <v>-2.39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0" t="n">
        <v>45714.534050926</v>
      </c>
      <c r="B854" s="2" t="s">
        <v>156</v>
      </c>
      <c r="C854" s="2" t="s">
        <v>1113</v>
      </c>
      <c r="D854" s="2" t="s">
        <v>757</v>
      </c>
      <c r="E854" s="2" t="s">
        <v>96</v>
      </c>
      <c r="F854" s="2" t="s">
        <v>20</v>
      </c>
      <c r="G854" s="7" t="n">
        <v>1</v>
      </c>
      <c r="H854" s="6" t="n">
        <v>807.2</v>
      </c>
      <c r="I854" s="6" t="n">
        <v>-807.2</v>
      </c>
      <c r="J854" s="6" t="n">
        <v>-46.36</v>
      </c>
      <c r="K854" s="6" t="n">
        <v>-2.42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45714.534212963</v>
      </c>
      <c r="B855" s="2" t="s">
        <v>144</v>
      </c>
      <c r="C855" s="2" t="s">
        <v>1112</v>
      </c>
      <c r="D855" s="2" t="s">
        <v>757</v>
      </c>
      <c r="E855" s="2" t="s">
        <v>96</v>
      </c>
      <c r="F855" s="2" t="s">
        <v>20</v>
      </c>
      <c r="G855" s="7" t="n">
        <v>1</v>
      </c>
      <c r="H855" s="6" t="n">
        <v>80.47</v>
      </c>
      <c r="I855" s="6" t="n">
        <v>-804.7</v>
      </c>
      <c r="J855" s="6" t="n">
        <v>-50.96</v>
      </c>
      <c r="K855" s="6" t="n">
        <v>-2.41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45714.534375</v>
      </c>
      <c r="B856" s="2" t="s">
        <v>114</v>
      </c>
      <c r="C856" s="2" t="s">
        <v>964</v>
      </c>
      <c r="D856" s="2" t="s">
        <v>757</v>
      </c>
      <c r="E856" s="2" t="s">
        <v>96</v>
      </c>
      <c r="F856" s="2" t="s">
        <v>20</v>
      </c>
      <c r="G856" s="7" t="n">
        <v>1</v>
      </c>
      <c r="H856" s="6" t="n">
        <v>72.94</v>
      </c>
      <c r="I856" s="6" t="n">
        <v>-729.4</v>
      </c>
      <c r="J856" s="6" t="n">
        <v>-28.09</v>
      </c>
      <c r="K856" s="6" t="n">
        <v>-2.19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1" t="n">
        <v>45714.564108796</v>
      </c>
      <c r="B857" s="22" t="s">
        <v>891</v>
      </c>
      <c r="C857" s="22" t="s">
        <v>1035</v>
      </c>
      <c r="D857" s="22" t="s">
        <v>891</v>
      </c>
      <c r="E857" s="22" t="s">
        <v>891</v>
      </c>
      <c r="F857" s="22" t="s">
        <v>20</v>
      </c>
      <c r="G857" s="23" t="n">
        <v>1</v>
      </c>
      <c r="H857" s="24" t="n">
        <v>1</v>
      </c>
      <c r="I857" s="24" t="n">
        <v>18.67</v>
      </c>
      <c r="J857" s="24" t="n">
        <v>0</v>
      </c>
      <c r="K857" s="24" t="n">
        <v>0</v>
      </c>
      <c r="L857" s="24" t="n">
        <v>0</v>
      </c>
      <c r="M857" s="6" t="s">
        <f>=I857+J857+K857+L857</f>
      </c>
      <c r="N857" s="24"/>
      <c r="O857" s="22"/>
    </row>
    <row collapsed="false" customFormat="false" customHeight="false" hidden="false" ht="12.1" outlineLevel="0" r="858">
      <c r="A858" s="21" t="n">
        <v>45714.581469907</v>
      </c>
      <c r="B858" s="22" t="s">
        <v>891</v>
      </c>
      <c r="C858" s="22" t="s">
        <v>1089</v>
      </c>
      <c r="D858" s="22" t="s">
        <v>891</v>
      </c>
      <c r="E858" s="22" t="s">
        <v>891</v>
      </c>
      <c r="F858" s="22" t="s">
        <v>20</v>
      </c>
      <c r="G858" s="23" t="n">
        <v>1</v>
      </c>
      <c r="H858" s="24" t="n">
        <v>1</v>
      </c>
      <c r="I858" s="24" t="n">
        <v>74.79</v>
      </c>
      <c r="J858" s="24" t="n">
        <v>0</v>
      </c>
      <c r="K858" s="24" t="n">
        <v>0</v>
      </c>
      <c r="L858" s="24" t="n">
        <v>0</v>
      </c>
      <c r="M858" s="6" t="s">
        <f>=I858+J858+K858+L858</f>
      </c>
      <c r="N858" s="24"/>
      <c r="O858" s="22"/>
    </row>
    <row collapsed="false" customFormat="false" customHeight="false" hidden="false" ht="12.1" outlineLevel="0" r="859">
      <c r="A859" s="21" t="n">
        <v>45719.637708333</v>
      </c>
      <c r="B859" s="22" t="s">
        <v>891</v>
      </c>
      <c r="C859" s="22" t="s">
        <v>1002</v>
      </c>
      <c r="D859" s="22" t="s">
        <v>891</v>
      </c>
      <c r="E859" s="22" t="s">
        <v>891</v>
      </c>
      <c r="F859" s="22" t="s">
        <v>20</v>
      </c>
      <c r="G859" s="23" t="n">
        <v>1</v>
      </c>
      <c r="H859" s="24" t="n">
        <v>1</v>
      </c>
      <c r="I859" s="24" t="n">
        <v>37.64</v>
      </c>
      <c r="J859" s="24" t="n">
        <v>0</v>
      </c>
      <c r="K859" s="24" t="n">
        <v>0</v>
      </c>
      <c r="L859" s="24" t="n">
        <v>0</v>
      </c>
      <c r="M859" s="6" t="s">
        <f>=I859+J859+K859+L859</f>
      </c>
      <c r="N859" s="24"/>
      <c r="O859" s="22"/>
    </row>
    <row collapsed="false" customFormat="false" customHeight="false" hidden="false" ht="12.1" outlineLevel="0" r="860">
      <c r="A860" s="21" t="n">
        <v>45719.63837963</v>
      </c>
      <c r="B860" s="22" t="s">
        <v>891</v>
      </c>
      <c r="C860" s="22" t="s">
        <v>933</v>
      </c>
      <c r="D860" s="22" t="s">
        <v>891</v>
      </c>
      <c r="E860" s="22" t="s">
        <v>891</v>
      </c>
      <c r="F860" s="22" t="s">
        <v>20</v>
      </c>
      <c r="G860" s="23" t="n">
        <v>1</v>
      </c>
      <c r="H860" s="24" t="n">
        <v>1</v>
      </c>
      <c r="I860" s="24" t="n">
        <v>24.81</v>
      </c>
      <c r="J860" s="24" t="n">
        <v>0</v>
      </c>
      <c r="K860" s="24" t="n">
        <v>0</v>
      </c>
      <c r="L860" s="24" t="n">
        <v>0</v>
      </c>
      <c r="M860" s="6" t="s">
        <f>=I860+J860+K860+L860</f>
      </c>
      <c r="N860" s="24"/>
      <c r="O860" s="22"/>
    </row>
    <row collapsed="false" customFormat="false" customHeight="false" hidden="false" ht="12.1" outlineLevel="0" r="861">
      <c r="A861" s="21" t="n">
        <v>45720.419386574</v>
      </c>
      <c r="B861" s="22" t="s">
        <v>891</v>
      </c>
      <c r="C861" s="22" t="s">
        <v>1046</v>
      </c>
      <c r="D861" s="22" t="s">
        <v>891</v>
      </c>
      <c r="E861" s="22" t="s">
        <v>891</v>
      </c>
      <c r="F861" s="22" t="s">
        <v>20</v>
      </c>
      <c r="G861" s="23" t="n">
        <v>1</v>
      </c>
      <c r="H861" s="24" t="n">
        <v>1</v>
      </c>
      <c r="I861" s="24" t="n">
        <v>39.9</v>
      </c>
      <c r="J861" s="24" t="n">
        <v>0</v>
      </c>
      <c r="K861" s="24" t="n">
        <v>0</v>
      </c>
      <c r="L861" s="24" t="n">
        <v>0</v>
      </c>
      <c r="M861" s="6" t="s">
        <f>=I861+J861+K861+L861</f>
      </c>
      <c r="N861" s="24"/>
      <c r="O861" s="22"/>
    </row>
    <row collapsed="false" customFormat="false" customHeight="false" hidden="false" ht="12.1" outlineLevel="0" r="862">
      <c r="A862" s="21" t="n">
        <v>45721.587916667</v>
      </c>
      <c r="B862" s="22" t="s">
        <v>891</v>
      </c>
      <c r="C862" s="22" t="s">
        <v>1091</v>
      </c>
      <c r="D862" s="22" t="s">
        <v>891</v>
      </c>
      <c r="E862" s="22" t="s">
        <v>891</v>
      </c>
      <c r="F862" s="22" t="s">
        <v>20</v>
      </c>
      <c r="G862" s="23" t="n">
        <v>1</v>
      </c>
      <c r="H862" s="24" t="n">
        <v>1</v>
      </c>
      <c r="I862" s="24" t="n">
        <v>29.17</v>
      </c>
      <c r="J862" s="24" t="n">
        <v>0</v>
      </c>
      <c r="K862" s="24" t="n">
        <v>0</v>
      </c>
      <c r="L862" s="24" t="n">
        <v>0</v>
      </c>
      <c r="M862" s="6" t="s">
        <f>=I862+J862+K862+L862</f>
      </c>
      <c r="N862" s="24"/>
      <c r="O862" s="22"/>
    </row>
    <row collapsed="false" customFormat="false" customHeight="false" hidden="false" ht="12.1" outlineLevel="0" r="863">
      <c r="A863" s="21" t="n">
        <v>45722.410949074</v>
      </c>
      <c r="B863" s="22" t="s">
        <v>891</v>
      </c>
      <c r="C863" s="22" t="s">
        <v>1068</v>
      </c>
      <c r="D863" s="22" t="s">
        <v>891</v>
      </c>
      <c r="E863" s="22" t="s">
        <v>891</v>
      </c>
      <c r="F863" s="22" t="s">
        <v>20</v>
      </c>
      <c r="G863" s="23" t="n">
        <v>1</v>
      </c>
      <c r="H863" s="24" t="n">
        <v>1</v>
      </c>
      <c r="I863" s="24" t="n">
        <v>179.52</v>
      </c>
      <c r="J863" s="24" t="n">
        <v>0</v>
      </c>
      <c r="K863" s="24" t="n">
        <v>0</v>
      </c>
      <c r="L863" s="24" t="n">
        <v>0</v>
      </c>
      <c r="M863" s="6" t="s">
        <f>=I863+J863+K863+L863</f>
      </c>
      <c r="N863" s="24"/>
      <c r="O863" s="22"/>
    </row>
    <row collapsed="false" customFormat="false" customHeight="false" hidden="false" ht="12.1" outlineLevel="0" r="864">
      <c r="A864" s="21" t="n">
        <v>45722.43587963</v>
      </c>
      <c r="B864" s="22" t="s">
        <v>891</v>
      </c>
      <c r="C864" s="22" t="s">
        <v>951</v>
      </c>
      <c r="D864" s="22" t="s">
        <v>891</v>
      </c>
      <c r="E864" s="22" t="s">
        <v>891</v>
      </c>
      <c r="F864" s="22" t="s">
        <v>20</v>
      </c>
      <c r="G864" s="23" t="n">
        <v>1</v>
      </c>
      <c r="H864" s="24" t="n">
        <v>1</v>
      </c>
      <c r="I864" s="24" t="n">
        <v>87.01</v>
      </c>
      <c r="J864" s="24" t="n">
        <v>0</v>
      </c>
      <c r="K864" s="24" t="n">
        <v>0</v>
      </c>
      <c r="L864" s="24" t="n">
        <v>0</v>
      </c>
      <c r="M864" s="6" t="s">
        <f>=I864+J864+K864+L864</f>
      </c>
      <c r="N864" s="24"/>
      <c r="O864" s="22"/>
    </row>
    <row collapsed="false" customFormat="false" customHeight="false" hidden="false" ht="12.1" outlineLevel="0" r="865">
      <c r="A865" s="21" t="n">
        <v>45722.660231481</v>
      </c>
      <c r="B865" s="22" t="s">
        <v>891</v>
      </c>
      <c r="C865" s="22" t="s">
        <v>934</v>
      </c>
      <c r="D865" s="22" t="s">
        <v>891</v>
      </c>
      <c r="E865" s="22" t="s">
        <v>891</v>
      </c>
      <c r="F865" s="22" t="s">
        <v>20</v>
      </c>
      <c r="G865" s="23" t="n">
        <v>1</v>
      </c>
      <c r="H865" s="24" t="n">
        <v>1</v>
      </c>
      <c r="I865" s="24" t="n">
        <v>19.87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45722.663333333</v>
      </c>
      <c r="B866" s="22" t="s">
        <v>891</v>
      </c>
      <c r="C866" s="22" t="s">
        <v>1094</v>
      </c>
      <c r="D866" s="22" t="s">
        <v>891</v>
      </c>
      <c r="E866" s="22" t="s">
        <v>891</v>
      </c>
      <c r="F866" s="22" t="s">
        <v>20</v>
      </c>
      <c r="G866" s="23" t="n">
        <v>1</v>
      </c>
      <c r="H866" s="24" t="n">
        <v>1</v>
      </c>
      <c r="I866" s="24" t="n">
        <v>19.55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45723.506493056</v>
      </c>
      <c r="B867" s="22" t="s">
        <v>891</v>
      </c>
      <c r="C867" s="22" t="s">
        <v>1034</v>
      </c>
      <c r="D867" s="22" t="s">
        <v>891</v>
      </c>
      <c r="E867" s="22" t="s">
        <v>891</v>
      </c>
      <c r="F867" s="22" t="s">
        <v>20</v>
      </c>
      <c r="G867" s="23" t="n">
        <v>1</v>
      </c>
      <c r="H867" s="24" t="n">
        <v>1</v>
      </c>
      <c r="I867" s="24" t="n">
        <v>8.15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1" t="n">
        <v>45723.507372685</v>
      </c>
      <c r="B868" s="22" t="s">
        <v>901</v>
      </c>
      <c r="C868" s="22" t="s">
        <v>1033</v>
      </c>
      <c r="D868" s="22" t="s">
        <v>901</v>
      </c>
      <c r="E868" s="22" t="s">
        <v>901</v>
      </c>
      <c r="F868" s="22" t="s">
        <v>20</v>
      </c>
      <c r="G868" s="23" t="n">
        <v>1</v>
      </c>
      <c r="H868" s="24" t="n">
        <v>1</v>
      </c>
      <c r="I868" s="24" t="n">
        <v>67</v>
      </c>
      <c r="J868" s="24" t="n">
        <v>0</v>
      </c>
      <c r="K868" s="24" t="n">
        <v>0</v>
      </c>
      <c r="L868" s="24" t="n">
        <v>0</v>
      </c>
      <c r="M868" s="6" t="s">
        <f>=I868+J868+K868+L868</f>
      </c>
      <c r="N868" s="24"/>
      <c r="O868" s="22"/>
    </row>
    <row collapsed="false" customFormat="false" customHeight="false" hidden="false" ht="12.1" outlineLevel="0" r="869">
      <c r="A869" s="21" t="n">
        <v>45723.548414352</v>
      </c>
      <c r="B869" s="22" t="s">
        <v>891</v>
      </c>
      <c r="C869" s="22" t="s">
        <v>1095</v>
      </c>
      <c r="D869" s="22" t="s">
        <v>891</v>
      </c>
      <c r="E869" s="22" t="s">
        <v>891</v>
      </c>
      <c r="F869" s="22" t="s">
        <v>20</v>
      </c>
      <c r="G869" s="23" t="n">
        <v>1</v>
      </c>
      <c r="H869" s="24" t="n">
        <v>1</v>
      </c>
      <c r="I869" s="24" t="n">
        <v>35.53</v>
      </c>
      <c r="J869" s="24" t="n">
        <v>0</v>
      </c>
      <c r="K869" s="24" t="n">
        <v>0</v>
      </c>
      <c r="L869" s="24" t="n">
        <v>0</v>
      </c>
      <c r="M869" s="6" t="s">
        <f>=I869+J869+K869+L869</f>
      </c>
      <c r="N869" s="24"/>
      <c r="O869" s="22"/>
    </row>
    <row collapsed="false" customFormat="false" customHeight="false" hidden="false" ht="12.1" outlineLevel="0" r="870">
      <c r="A870" s="21" t="n">
        <v>45729.5103125</v>
      </c>
      <c r="B870" s="22" t="s">
        <v>884</v>
      </c>
      <c r="C870" s="22" t="s">
        <v>336</v>
      </c>
      <c r="D870" s="22" t="s">
        <v>884</v>
      </c>
      <c r="E870" s="22" t="s">
        <v>884</v>
      </c>
      <c r="F870" s="22" t="s">
        <v>20</v>
      </c>
      <c r="G870" s="23" t="n">
        <v>1</v>
      </c>
      <c r="H870" s="24" t="n">
        <v>1</v>
      </c>
      <c r="I870" s="24" t="n">
        <v>5000</v>
      </c>
      <c r="J870" s="24" t="n">
        <v>0</v>
      </c>
      <c r="K870" s="24" t="n">
        <v>0</v>
      </c>
      <c r="L870" s="24" t="n">
        <v>0</v>
      </c>
      <c r="M870" s="6" t="s">
        <f>=I870+J870+K870+L870</f>
      </c>
      <c r="N870" s="24"/>
      <c r="O870" s="22"/>
    </row>
    <row collapsed="false" customFormat="false" customHeight="false" hidden="false" ht="12.1" outlineLevel="0" r="871">
      <c r="A871" s="21" t="n">
        <v>45729.514479167</v>
      </c>
      <c r="B871" s="22" t="s">
        <v>884</v>
      </c>
      <c r="C871" s="22" t="s">
        <v>336</v>
      </c>
      <c r="D871" s="22" t="s">
        <v>884</v>
      </c>
      <c r="E871" s="22" t="s">
        <v>884</v>
      </c>
      <c r="F871" s="22" t="s">
        <v>20</v>
      </c>
      <c r="G871" s="23" t="n">
        <v>1</v>
      </c>
      <c r="H871" s="24" t="n">
        <v>1</v>
      </c>
      <c r="I871" s="24" t="n">
        <v>6600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0" t="n">
        <v>45729.515115741</v>
      </c>
      <c r="B872" s="2" t="s">
        <v>40</v>
      </c>
      <c r="C872" s="2" t="s">
        <v>950</v>
      </c>
      <c r="D872" s="2" t="s">
        <v>757</v>
      </c>
      <c r="E872" s="2" t="s">
        <v>18</v>
      </c>
      <c r="F872" s="2" t="s">
        <v>20</v>
      </c>
      <c r="G872" s="7" t="n">
        <v>10</v>
      </c>
      <c r="H872" s="6" t="n">
        <v>209.25</v>
      </c>
      <c r="I872" s="6" t="n">
        <v>-2092.5</v>
      </c>
      <c r="J872" s="6" t="n">
        <v>0</v>
      </c>
      <c r="K872" s="6" t="n">
        <v>-6.28</v>
      </c>
      <c r="L872" s="6" t="n">
        <v>0</v>
      </c>
      <c r="M872" s="6" t="s">
        <f>=I872+J872+K872+L872</f>
      </c>
      <c r="N872" s="6"/>
      <c r="O872" s="2"/>
    </row>
    <row collapsed="false" customFormat="false" customHeight="false" hidden="false" ht="12.1" outlineLevel="0" r="873">
      <c r="A873" s="20" t="n">
        <v>45729.515590278</v>
      </c>
      <c r="B873" s="2" t="s">
        <v>49</v>
      </c>
      <c r="C873" s="2" t="s">
        <v>899</v>
      </c>
      <c r="D873" s="2" t="s">
        <v>757</v>
      </c>
      <c r="E873" s="2" t="s">
        <v>18</v>
      </c>
      <c r="F873" s="2" t="s">
        <v>20</v>
      </c>
      <c r="G873" s="7" t="n">
        <v>20</v>
      </c>
      <c r="H873" s="6" t="n">
        <v>88.97</v>
      </c>
      <c r="I873" s="6" t="n">
        <v>-1779.4</v>
      </c>
      <c r="J873" s="6" t="n">
        <v>0</v>
      </c>
      <c r="K873" s="6" t="n">
        <v>-5.34</v>
      </c>
      <c r="L873" s="6" t="n">
        <v>0</v>
      </c>
      <c r="M873" s="6" t="s">
        <f>=I873+J873+K873+L873</f>
      </c>
      <c r="N873" s="6"/>
      <c r="O873" s="2"/>
    </row>
    <row collapsed="false" customFormat="false" customHeight="false" hidden="false" ht="12.1" outlineLevel="0" r="874">
      <c r="A874" s="29" t="n">
        <v>45729.516076389</v>
      </c>
      <c r="B874" s="30" t="s">
        <v>767</v>
      </c>
      <c r="C874" s="30" t="s">
        <v>985</v>
      </c>
      <c r="D874" s="30" t="s">
        <v>770</v>
      </c>
      <c r="E874" s="30" t="s">
        <v>18</v>
      </c>
      <c r="F874" s="30" t="s">
        <v>20</v>
      </c>
      <c r="G874" s="31" t="n">
        <v>-100</v>
      </c>
      <c r="H874" s="32" t="n">
        <v>1.728</v>
      </c>
      <c r="I874" s="32" t="n">
        <v>172.8</v>
      </c>
      <c r="J874" s="32" t="n">
        <v>0</v>
      </c>
      <c r="K874" s="32" t="n">
        <v>-0.52</v>
      </c>
      <c r="L874" s="32" t="n">
        <v>0</v>
      </c>
      <c r="M874" s="6" t="s">
        <f>=I874+J874+K874+L874</f>
      </c>
      <c r="N874" s="32"/>
      <c r="O874" s="30"/>
    </row>
    <row collapsed="false" customFormat="false" customHeight="false" hidden="false" ht="12.1" outlineLevel="0" r="875">
      <c r="A875" s="20" t="n">
        <v>45729.517210648</v>
      </c>
      <c r="B875" s="2" t="s">
        <v>31</v>
      </c>
      <c r="C875" s="2" t="s">
        <v>906</v>
      </c>
      <c r="D875" s="2" t="s">
        <v>757</v>
      </c>
      <c r="E875" s="2" t="s">
        <v>18</v>
      </c>
      <c r="F875" s="2" t="s">
        <v>20</v>
      </c>
      <c r="G875" s="7" t="n">
        <v>10</v>
      </c>
      <c r="H875" s="6" t="n">
        <v>163.93</v>
      </c>
      <c r="I875" s="6" t="n">
        <v>-1639.3</v>
      </c>
      <c r="J875" s="6" t="n">
        <v>0</v>
      </c>
      <c r="K875" s="6" t="n">
        <v>-4.92</v>
      </c>
      <c r="L875" s="6" t="n">
        <v>0</v>
      </c>
      <c r="M875" s="6" t="s">
        <f>=I875+J875+K875+L875</f>
      </c>
      <c r="N875" s="6"/>
      <c r="O875" s="2"/>
    </row>
    <row collapsed="false" customFormat="false" customHeight="false" hidden="false" ht="12.1" outlineLevel="0" r="876">
      <c r="A876" s="20" t="n">
        <v>45729.517511574</v>
      </c>
      <c r="B876" s="2" t="s">
        <v>34</v>
      </c>
      <c r="C876" s="2" t="s">
        <v>907</v>
      </c>
      <c r="D876" s="2" t="s">
        <v>757</v>
      </c>
      <c r="E876" s="2" t="s">
        <v>18</v>
      </c>
      <c r="F876" s="2" t="s">
        <v>20</v>
      </c>
      <c r="G876" s="7" t="n">
        <v>1</v>
      </c>
      <c r="H876" s="6" t="n">
        <v>695.1</v>
      </c>
      <c r="I876" s="6" t="n">
        <v>-695.1</v>
      </c>
      <c r="J876" s="6" t="n">
        <v>0</v>
      </c>
      <c r="K876" s="6" t="n">
        <v>-2.09</v>
      </c>
      <c r="L876" s="6" t="n">
        <v>0</v>
      </c>
      <c r="M876" s="6" t="s">
        <f>=I876+J876+K876+L876</f>
      </c>
      <c r="N876" s="6"/>
      <c r="O876" s="2"/>
    </row>
    <row collapsed="false" customFormat="false" customHeight="false" hidden="false" ht="12.1" outlineLevel="0" r="877">
      <c r="A877" s="20" t="n">
        <v>45729.517893519</v>
      </c>
      <c r="B877" s="2" t="s">
        <v>82</v>
      </c>
      <c r="C877" s="2" t="s">
        <v>1116</v>
      </c>
      <c r="D877" s="2" t="s">
        <v>757</v>
      </c>
      <c r="E877" s="2" t="s">
        <v>18</v>
      </c>
      <c r="F877" s="2" t="s">
        <v>20</v>
      </c>
      <c r="G877" s="7" t="n">
        <v>10</v>
      </c>
      <c r="H877" s="6" t="n">
        <v>154.94</v>
      </c>
      <c r="I877" s="6" t="n">
        <v>-1549.4</v>
      </c>
      <c r="J877" s="6" t="n">
        <v>0</v>
      </c>
      <c r="K877" s="6" t="n">
        <v>-4.65</v>
      </c>
      <c r="L877" s="6" t="n">
        <v>0</v>
      </c>
      <c r="M877" s="6" t="s">
        <f>=I877+J877+K877+L877</f>
      </c>
      <c r="N877" s="6"/>
      <c r="O877" s="2"/>
    </row>
    <row collapsed="false" customFormat="false" customHeight="false" hidden="false" ht="12.1" outlineLevel="0" r="878">
      <c r="A878" s="20" t="n">
        <v>45729.52537037</v>
      </c>
      <c r="B878" s="2" t="s">
        <v>207</v>
      </c>
      <c r="C878" s="2" t="s">
        <v>1117</v>
      </c>
      <c r="D878" s="2" t="s">
        <v>757</v>
      </c>
      <c r="E878" s="2" t="s">
        <v>96</v>
      </c>
      <c r="F878" s="2" t="s">
        <v>20</v>
      </c>
      <c r="G878" s="7" t="n">
        <v>1</v>
      </c>
      <c r="H878" s="6" t="n">
        <v>76.46</v>
      </c>
      <c r="I878" s="6" t="n">
        <v>-764.6</v>
      </c>
      <c r="J878" s="6" t="n">
        <v>-16.16</v>
      </c>
      <c r="K878" s="6" t="n">
        <v>-2.29</v>
      </c>
      <c r="L878" s="6" t="n">
        <v>0</v>
      </c>
      <c r="M878" s="6" t="s">
        <f>=I878+J878+K878+L878</f>
      </c>
      <c r="N878" s="6"/>
      <c r="O878" s="2"/>
    </row>
    <row collapsed="false" customFormat="false" customHeight="false" hidden="false" ht="12.1" outlineLevel="0" r="879">
      <c r="A879" s="20" t="n">
        <v>45729.525717593</v>
      </c>
      <c r="B879" s="2" t="s">
        <v>282</v>
      </c>
      <c r="C879" s="2" t="s">
        <v>1118</v>
      </c>
      <c r="D879" s="2" t="s">
        <v>757</v>
      </c>
      <c r="E879" s="2" t="s">
        <v>96</v>
      </c>
      <c r="F879" s="2" t="s">
        <v>20</v>
      </c>
      <c r="G879" s="7" t="n">
        <v>1</v>
      </c>
      <c r="H879" s="6" t="n">
        <v>84.36</v>
      </c>
      <c r="I879" s="6" t="n">
        <v>-843.6</v>
      </c>
      <c r="J879" s="6" t="n">
        <v>-48.33</v>
      </c>
      <c r="K879" s="6" t="n">
        <v>-2.53</v>
      </c>
      <c r="L879" s="6" t="n">
        <v>0</v>
      </c>
      <c r="M879" s="6" t="s">
        <f>=I879+J879+K879+L879</f>
      </c>
      <c r="N879" s="6"/>
      <c r="O879" s="2"/>
    </row>
    <row collapsed="false" customFormat="false" customHeight="false" hidden="false" ht="12.1" outlineLevel="0" r="880">
      <c r="A880" s="20" t="n">
        <v>45729.526099537</v>
      </c>
      <c r="B880" s="2" t="s">
        <v>267</v>
      </c>
      <c r="C880" s="2" t="s">
        <v>1119</v>
      </c>
      <c r="D880" s="2" t="s">
        <v>757</v>
      </c>
      <c r="E880" s="2" t="s">
        <v>96</v>
      </c>
      <c r="F880" s="2" t="s">
        <v>20</v>
      </c>
      <c r="G880" s="7" t="n">
        <v>1</v>
      </c>
      <c r="H880" s="6" t="n">
        <v>87.1</v>
      </c>
      <c r="I880" s="6" t="n">
        <v>-871</v>
      </c>
      <c r="J880" s="6" t="n">
        <v>-43.25</v>
      </c>
      <c r="K880" s="6" t="n">
        <v>-2.61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0" t="n">
        <v>45729.526574074</v>
      </c>
      <c r="B881" s="2" t="s">
        <v>258</v>
      </c>
      <c r="C881" s="2" t="s">
        <v>1120</v>
      </c>
      <c r="D881" s="2" t="s">
        <v>757</v>
      </c>
      <c r="E881" s="2" t="s">
        <v>96</v>
      </c>
      <c r="F881" s="2" t="s">
        <v>20</v>
      </c>
      <c r="G881" s="7" t="n">
        <v>1</v>
      </c>
      <c r="H881" s="6" t="n">
        <v>84.26</v>
      </c>
      <c r="I881" s="6" t="n">
        <v>-842.6</v>
      </c>
      <c r="J881" s="6" t="n">
        <v>-15.93</v>
      </c>
      <c r="K881" s="6" t="n">
        <v>-2.53</v>
      </c>
      <c r="L881" s="6" t="n">
        <v>0</v>
      </c>
      <c r="M881" s="6" t="s">
        <f>=I881+J881+K881+L881</f>
      </c>
      <c r="N881" s="6"/>
      <c r="O881" s="2"/>
    </row>
    <row collapsed="false" customFormat="false" customHeight="false" hidden="false" ht="12.1" outlineLevel="0" r="882">
      <c r="A882" s="20" t="n">
        <v>45729.526979167</v>
      </c>
      <c r="B882" s="2" t="s">
        <v>219</v>
      </c>
      <c r="C882" s="2" t="s">
        <v>1121</v>
      </c>
      <c r="D882" s="2" t="s">
        <v>757</v>
      </c>
      <c r="E882" s="2" t="s">
        <v>96</v>
      </c>
      <c r="F882" s="2" t="s">
        <v>20</v>
      </c>
      <c r="G882" s="7" t="n">
        <v>1</v>
      </c>
      <c r="H882" s="6" t="n">
        <v>102</v>
      </c>
      <c r="I882" s="6" t="n">
        <v>-1020</v>
      </c>
      <c r="J882" s="6" t="n">
        <v>-79.6</v>
      </c>
      <c r="K882" s="6" t="n">
        <v>-3.06</v>
      </c>
      <c r="L882" s="6" t="n">
        <v>0</v>
      </c>
      <c r="M882" s="6" t="s">
        <f>=I882+J882+K882+L882</f>
      </c>
      <c r="N882" s="6"/>
      <c r="O882" s="2"/>
    </row>
    <row collapsed="false" customFormat="false" customHeight="false" hidden="false" ht="12.1" outlineLevel="0" r="883">
      <c r="A883" s="21" t="n">
        <v>45733.536284722</v>
      </c>
      <c r="B883" s="22" t="s">
        <v>891</v>
      </c>
      <c r="C883" s="22" t="s">
        <v>1122</v>
      </c>
      <c r="D883" s="22" t="s">
        <v>891</v>
      </c>
      <c r="E883" s="22" t="s">
        <v>891</v>
      </c>
      <c r="F883" s="22" t="s">
        <v>20</v>
      </c>
      <c r="G883" s="23" t="n">
        <v>1</v>
      </c>
      <c r="H883" s="24" t="n">
        <v>1</v>
      </c>
      <c r="I883" s="24" t="n">
        <v>35.66</v>
      </c>
      <c r="J883" s="24" t="n">
        <v>0</v>
      </c>
      <c r="K883" s="24" t="n">
        <v>0</v>
      </c>
      <c r="L883" s="24" t="n">
        <v>0</v>
      </c>
      <c r="M883" s="6" t="s">
        <f>=I883+J883+K883+L883</f>
      </c>
      <c r="N883" s="24"/>
      <c r="O883" s="22"/>
    </row>
    <row collapsed="false" customFormat="false" customHeight="false" hidden="false" ht="12.1" outlineLevel="0" r="884">
      <c r="A884" s="21" t="n">
        <v>45735.545590278</v>
      </c>
      <c r="B884" s="22" t="s">
        <v>891</v>
      </c>
      <c r="C884" s="22" t="s">
        <v>954</v>
      </c>
      <c r="D884" s="22" t="s">
        <v>891</v>
      </c>
      <c r="E884" s="22" t="s">
        <v>891</v>
      </c>
      <c r="F884" s="22" t="s">
        <v>20</v>
      </c>
      <c r="G884" s="23" t="n">
        <v>1</v>
      </c>
      <c r="H884" s="24" t="n">
        <v>1</v>
      </c>
      <c r="I884" s="24" t="n">
        <v>39.39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4"/>
      <c r="O884" s="22"/>
    </row>
    <row collapsed="false" customFormat="false" customHeight="false" hidden="false" ht="12.1" outlineLevel="0" r="885">
      <c r="A885" s="21" t="n">
        <v>45736.5271875</v>
      </c>
      <c r="B885" s="22" t="s">
        <v>891</v>
      </c>
      <c r="C885" s="22" t="s">
        <v>913</v>
      </c>
      <c r="D885" s="22" t="s">
        <v>891</v>
      </c>
      <c r="E885" s="22" t="s">
        <v>891</v>
      </c>
      <c r="F885" s="22" t="s">
        <v>20</v>
      </c>
      <c r="G885" s="23" t="n">
        <v>1</v>
      </c>
      <c r="H885" s="24" t="n">
        <v>1</v>
      </c>
      <c r="I885" s="24" t="n">
        <v>411.88</v>
      </c>
      <c r="J885" s="24" t="n">
        <v>0</v>
      </c>
      <c r="K885" s="24" t="n">
        <v>0</v>
      </c>
      <c r="L885" s="24" t="n">
        <v>0</v>
      </c>
      <c r="M885" s="6" t="s">
        <f>=I885+J885+K885+L885</f>
      </c>
      <c r="N885" s="24"/>
      <c r="O885" s="22"/>
    </row>
    <row collapsed="false" customFormat="false" customHeight="false" hidden="false" ht="12.1" outlineLevel="0" r="886">
      <c r="A886" s="21" t="n">
        <v>45741.604328704</v>
      </c>
      <c r="B886" s="22" t="s">
        <v>891</v>
      </c>
      <c r="C886" s="22" t="s">
        <v>1079</v>
      </c>
      <c r="D886" s="22" t="s">
        <v>891</v>
      </c>
      <c r="E886" s="22" t="s">
        <v>891</v>
      </c>
      <c r="F886" s="22" t="s">
        <v>20</v>
      </c>
      <c r="G886" s="23" t="n">
        <v>1</v>
      </c>
      <c r="H886" s="24" t="n">
        <v>1</v>
      </c>
      <c r="I886" s="24" t="n">
        <v>11.18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21" t="n">
        <v>45741.619259259</v>
      </c>
      <c r="B887" s="22" t="s">
        <v>891</v>
      </c>
      <c r="C887" s="22" t="s">
        <v>1123</v>
      </c>
      <c r="D887" s="22" t="s">
        <v>891</v>
      </c>
      <c r="E887" s="22" t="s">
        <v>891</v>
      </c>
      <c r="F887" s="22" t="s">
        <v>20</v>
      </c>
      <c r="G887" s="23" t="n">
        <v>1</v>
      </c>
      <c r="H887" s="24" t="n">
        <v>1</v>
      </c>
      <c r="I887" s="24" t="n">
        <v>90.76</v>
      </c>
      <c r="J887" s="24" t="n">
        <v>0</v>
      </c>
      <c r="K887" s="24" t="n">
        <v>0</v>
      </c>
      <c r="L887" s="24" t="n">
        <v>0</v>
      </c>
      <c r="M887" s="6" t="s">
        <f>=I887+J887+K887+L887</f>
      </c>
      <c r="N887" s="24"/>
      <c r="O887" s="22"/>
    </row>
    <row collapsed="false" customFormat="false" customHeight="false" hidden="false" ht="12.1" outlineLevel="0" r="888">
      <c r="A888" s="21" t="n">
        <v>45742.430509259</v>
      </c>
      <c r="B888" s="22" t="s">
        <v>891</v>
      </c>
      <c r="C888" s="22" t="s">
        <v>1004</v>
      </c>
      <c r="D888" s="22" t="s">
        <v>891</v>
      </c>
      <c r="E888" s="22" t="s">
        <v>891</v>
      </c>
      <c r="F888" s="22" t="s">
        <v>20</v>
      </c>
      <c r="G888" s="23" t="n">
        <v>1</v>
      </c>
      <c r="H888" s="24" t="n">
        <v>1</v>
      </c>
      <c r="I888" s="24" t="n">
        <v>3.93</v>
      </c>
      <c r="J888" s="24" t="n">
        <v>0</v>
      </c>
      <c r="K888" s="24" t="n">
        <v>0</v>
      </c>
      <c r="L888" s="24" t="n">
        <v>0</v>
      </c>
      <c r="M888" s="6" t="s">
        <f>=I888+J888+K888+L888</f>
      </c>
      <c r="N888" s="24"/>
      <c r="O888" s="22"/>
    </row>
    <row collapsed="false" customFormat="false" customHeight="false" hidden="false" ht="12.1" outlineLevel="0" r="889">
      <c r="A889" s="21" t="n">
        <v>45742.449675926</v>
      </c>
      <c r="B889" s="22" t="s">
        <v>901</v>
      </c>
      <c r="C889" s="22" t="s">
        <v>1124</v>
      </c>
      <c r="D889" s="22" t="s">
        <v>901</v>
      </c>
      <c r="E889" s="22" t="s">
        <v>901</v>
      </c>
      <c r="F889" s="22" t="s">
        <v>20</v>
      </c>
      <c r="G889" s="23" t="n">
        <v>1</v>
      </c>
      <c r="H889" s="24" t="n">
        <v>1</v>
      </c>
      <c r="I889" s="24" t="n">
        <v>150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4"/>
      <c r="O889" s="22"/>
    </row>
    <row collapsed="false" customFormat="false" customHeight="false" hidden="false" ht="12.1" outlineLevel="0" r="890">
      <c r="A890" s="21" t="n">
        <v>45742.749884259</v>
      </c>
      <c r="B890" s="22" t="s">
        <v>891</v>
      </c>
      <c r="C890" s="22" t="s">
        <v>1125</v>
      </c>
      <c r="D890" s="22" t="s">
        <v>891</v>
      </c>
      <c r="E890" s="22" t="s">
        <v>891</v>
      </c>
      <c r="F890" s="22" t="s">
        <v>20</v>
      </c>
      <c r="G890" s="23" t="n">
        <v>1</v>
      </c>
      <c r="H890" s="24" t="n">
        <v>1</v>
      </c>
      <c r="I890" s="24" t="n">
        <v>299.2</v>
      </c>
      <c r="J890" s="24" t="n">
        <v>0</v>
      </c>
      <c r="K890" s="24" t="n">
        <v>0</v>
      </c>
      <c r="L890" s="24" t="n">
        <v>0</v>
      </c>
      <c r="M890" s="6" t="s">
        <f>=I890+J890+K890+L890</f>
      </c>
      <c r="N890" s="24"/>
      <c r="O890" s="22"/>
    </row>
    <row collapsed="false" customFormat="false" customHeight="false" hidden="false" ht="12.1" outlineLevel="0" r="891">
      <c r="A891" s="21" t="n">
        <v>45743.419722222</v>
      </c>
      <c r="B891" s="22" t="s">
        <v>891</v>
      </c>
      <c r="C891" s="22" t="s">
        <v>1036</v>
      </c>
      <c r="D891" s="22" t="s">
        <v>891</v>
      </c>
      <c r="E891" s="22" t="s">
        <v>891</v>
      </c>
      <c r="F891" s="22" t="s">
        <v>20</v>
      </c>
      <c r="G891" s="23" t="n">
        <v>1</v>
      </c>
      <c r="H891" s="24" t="n">
        <v>1</v>
      </c>
      <c r="I891" s="24" t="n">
        <v>392.7</v>
      </c>
      <c r="J891" s="24" t="n">
        <v>0</v>
      </c>
      <c r="K891" s="24" t="n">
        <v>0</v>
      </c>
      <c r="L891" s="24" t="n">
        <v>0</v>
      </c>
      <c r="M891" s="6" t="s">
        <f>=I891+J891+K891+L891</f>
      </c>
      <c r="N891" s="24"/>
      <c r="O891" s="22"/>
    </row>
    <row collapsed="false" customFormat="false" customHeight="false" hidden="false" ht="12.1" outlineLevel="0" r="892">
      <c r="A892" s="21" t="n">
        <v>45743.488877315</v>
      </c>
      <c r="B892" s="22" t="s">
        <v>891</v>
      </c>
      <c r="C892" s="22" t="s">
        <v>1063</v>
      </c>
      <c r="D892" s="22" t="s">
        <v>891</v>
      </c>
      <c r="E892" s="22" t="s">
        <v>891</v>
      </c>
      <c r="F892" s="22" t="s">
        <v>20</v>
      </c>
      <c r="G892" s="23" t="n">
        <v>1</v>
      </c>
      <c r="H892" s="24" t="n">
        <v>1</v>
      </c>
      <c r="I892" s="24" t="n">
        <v>36.32</v>
      </c>
      <c r="J892" s="24" t="n">
        <v>0</v>
      </c>
      <c r="K892" s="24" t="n">
        <v>0</v>
      </c>
      <c r="L892" s="24" t="n">
        <v>0</v>
      </c>
      <c r="M892" s="6" t="s">
        <f>=I892+J892+K892+L892</f>
      </c>
      <c r="N892" s="24"/>
      <c r="O892" s="22"/>
    </row>
    <row collapsed="false" customFormat="false" customHeight="false" hidden="false" ht="12.1" outlineLevel="0" r="893">
      <c r="A893" s="21" t="n">
        <v>45743.526921296</v>
      </c>
      <c r="B893" s="22" t="s">
        <v>891</v>
      </c>
      <c r="C893" s="22" t="s">
        <v>1037</v>
      </c>
      <c r="D893" s="22" t="s">
        <v>891</v>
      </c>
      <c r="E893" s="22" t="s">
        <v>891</v>
      </c>
      <c r="F893" s="22" t="s">
        <v>20</v>
      </c>
      <c r="G893" s="23" t="n">
        <v>1</v>
      </c>
      <c r="H893" s="24" t="n">
        <v>1</v>
      </c>
      <c r="I893" s="24" t="n">
        <v>423.8</v>
      </c>
      <c r="J893" s="24" t="n">
        <v>0</v>
      </c>
      <c r="K893" s="24" t="n">
        <v>0</v>
      </c>
      <c r="L893" s="24" t="n">
        <v>0</v>
      </c>
      <c r="M893" s="6" t="s">
        <f>=I893+J893+K893+L893</f>
      </c>
      <c r="N893" s="24"/>
      <c r="O893" s="22"/>
    </row>
    <row collapsed="false" customFormat="false" customHeight="false" hidden="false" ht="12.1" outlineLevel="0" r="894">
      <c r="A894" s="21" t="n">
        <v>45743.5475</v>
      </c>
      <c r="B894" s="22" t="s">
        <v>891</v>
      </c>
      <c r="C894" s="22" t="s">
        <v>956</v>
      </c>
      <c r="D894" s="22" t="s">
        <v>891</v>
      </c>
      <c r="E894" s="22" t="s">
        <v>891</v>
      </c>
      <c r="F894" s="22" t="s">
        <v>20</v>
      </c>
      <c r="G894" s="23" t="n">
        <v>1</v>
      </c>
      <c r="H894" s="24" t="n">
        <v>1</v>
      </c>
      <c r="I894" s="24" t="n">
        <v>68.52</v>
      </c>
      <c r="J894" s="24" t="n">
        <v>0</v>
      </c>
      <c r="K894" s="24" t="n">
        <v>0</v>
      </c>
      <c r="L894" s="24" t="n">
        <v>0</v>
      </c>
      <c r="M894" s="6" t="s">
        <f>=I894+J894+K894+L894</f>
      </c>
      <c r="N894" s="24"/>
      <c r="O894" s="22"/>
    </row>
    <row collapsed="false" customFormat="false" customHeight="false" hidden="false" ht="12.1" outlineLevel="0" r="895">
      <c r="A895" s="21" t="n">
        <v>45747.474895833</v>
      </c>
      <c r="B895" s="22" t="s">
        <v>891</v>
      </c>
      <c r="C895" s="22" t="s">
        <v>1126</v>
      </c>
      <c r="D895" s="22" t="s">
        <v>891</v>
      </c>
      <c r="E895" s="22" t="s">
        <v>891</v>
      </c>
      <c r="F895" s="22" t="s">
        <v>20</v>
      </c>
      <c r="G895" s="23" t="n">
        <v>1</v>
      </c>
      <c r="H895" s="24" t="n">
        <v>1</v>
      </c>
      <c r="I895" s="24" t="n">
        <v>52.36</v>
      </c>
      <c r="J895" s="24" t="n">
        <v>0</v>
      </c>
      <c r="K895" s="24" t="n">
        <v>0</v>
      </c>
      <c r="L895" s="24" t="n">
        <v>0</v>
      </c>
      <c r="M895" s="6" t="s">
        <f>=I895+J895+K895+L895</f>
      </c>
      <c r="N895" s="24"/>
      <c r="O895" s="22"/>
    </row>
    <row collapsed="false" customFormat="false" customHeight="false" hidden="false" ht="12.1" outlineLevel="0" r="896">
      <c r="A896" s="21" t="n">
        <v>45747.499525463</v>
      </c>
      <c r="B896" s="22" t="s">
        <v>891</v>
      </c>
      <c r="C896" s="22" t="s">
        <v>1035</v>
      </c>
      <c r="D896" s="22" t="s">
        <v>891</v>
      </c>
      <c r="E896" s="22" t="s">
        <v>891</v>
      </c>
      <c r="F896" s="22" t="s">
        <v>20</v>
      </c>
      <c r="G896" s="23" t="n">
        <v>1</v>
      </c>
      <c r="H896" s="24" t="n">
        <v>1</v>
      </c>
      <c r="I896" s="24" t="n">
        <v>18.7</v>
      </c>
      <c r="J896" s="24" t="n">
        <v>0</v>
      </c>
      <c r="K896" s="24" t="n">
        <v>0</v>
      </c>
      <c r="L896" s="24" t="n">
        <v>0</v>
      </c>
      <c r="M896" s="6" t="s">
        <f>=I896+J896+K896+L896</f>
      </c>
      <c r="N896" s="24"/>
      <c r="O896" s="22"/>
    </row>
    <row collapsed="false" customFormat="false" customHeight="false" hidden="false" ht="12.1" outlineLevel="0" r="897">
      <c r="A897" s="21" t="n">
        <v>45748.536886574</v>
      </c>
      <c r="B897" s="22" t="s">
        <v>891</v>
      </c>
      <c r="C897" s="22" t="s">
        <v>1002</v>
      </c>
      <c r="D897" s="22" t="s">
        <v>891</v>
      </c>
      <c r="E897" s="22" t="s">
        <v>891</v>
      </c>
      <c r="F897" s="22" t="s">
        <v>20</v>
      </c>
      <c r="G897" s="23" t="n">
        <v>1</v>
      </c>
      <c r="H897" s="24" t="n">
        <v>1</v>
      </c>
      <c r="I897" s="24" t="n">
        <v>37.72</v>
      </c>
      <c r="J897" s="24" t="n">
        <v>0</v>
      </c>
      <c r="K897" s="24" t="n">
        <v>0</v>
      </c>
      <c r="L897" s="24" t="n">
        <v>0</v>
      </c>
      <c r="M897" s="6" t="s">
        <f>=I897+J897+K897+L897</f>
      </c>
      <c r="N897" s="24"/>
      <c r="O897" s="22"/>
    </row>
    <row collapsed="false" customFormat="false" customHeight="false" hidden="false" ht="12.1" outlineLevel="0" r="898">
      <c r="A898" s="21" t="n">
        <v>45750.429351852</v>
      </c>
      <c r="B898" s="22" t="s">
        <v>891</v>
      </c>
      <c r="C898" s="22" t="s">
        <v>957</v>
      </c>
      <c r="D898" s="22" t="s">
        <v>891</v>
      </c>
      <c r="E898" s="22" t="s">
        <v>891</v>
      </c>
      <c r="F898" s="22" t="s">
        <v>20</v>
      </c>
      <c r="G898" s="23" t="n">
        <v>1</v>
      </c>
      <c r="H898" s="24" t="n">
        <v>1</v>
      </c>
      <c r="I898" s="24" t="n">
        <v>345.51</v>
      </c>
      <c r="J898" s="24" t="n">
        <v>0</v>
      </c>
      <c r="K898" s="24" t="n">
        <v>0</v>
      </c>
      <c r="L898" s="24" t="n">
        <v>0</v>
      </c>
      <c r="M898" s="6" t="s">
        <f>=I898+J898+K898+L898</f>
      </c>
      <c r="N898" s="24"/>
      <c r="O898" s="22"/>
    </row>
    <row collapsed="false" customFormat="false" customHeight="false" hidden="false" ht="12.1" outlineLevel="0" r="899">
      <c r="A899" s="21" t="n">
        <v>45750.472719907</v>
      </c>
      <c r="B899" s="22" t="s">
        <v>891</v>
      </c>
      <c r="C899" s="22" t="s">
        <v>958</v>
      </c>
      <c r="D899" s="22" t="s">
        <v>891</v>
      </c>
      <c r="E899" s="22" t="s">
        <v>891</v>
      </c>
      <c r="F899" s="22" t="s">
        <v>20</v>
      </c>
      <c r="G899" s="23" t="n">
        <v>1</v>
      </c>
      <c r="H899" s="24" t="n">
        <v>1</v>
      </c>
      <c r="I899" s="24" t="n">
        <v>652.63</v>
      </c>
      <c r="J899" s="24" t="n">
        <v>0</v>
      </c>
      <c r="K899" s="24" t="n">
        <v>0</v>
      </c>
      <c r="L899" s="24" t="n">
        <v>0</v>
      </c>
      <c r="M899" s="6" t="s">
        <f>=I899+J899+K899+L899</f>
      </c>
      <c r="N899" s="24"/>
      <c r="O899" s="22"/>
    </row>
    <row collapsed="false" customFormat="false" customHeight="false" hidden="false" ht="12.1" outlineLevel="0" r="900">
      <c r="A900" s="21" t="n">
        <v>45751.463171296</v>
      </c>
      <c r="B900" s="22" t="s">
        <v>891</v>
      </c>
      <c r="C900" s="22" t="s">
        <v>900</v>
      </c>
      <c r="D900" s="22" t="s">
        <v>891</v>
      </c>
      <c r="E900" s="22" t="s">
        <v>891</v>
      </c>
      <c r="F900" s="22" t="s">
        <v>20</v>
      </c>
      <c r="G900" s="23" t="n">
        <v>1</v>
      </c>
      <c r="H900" s="24" t="n">
        <v>1</v>
      </c>
      <c r="I900" s="24" t="n">
        <v>6.98</v>
      </c>
      <c r="J900" s="24" t="n">
        <v>0</v>
      </c>
      <c r="K900" s="24" t="n">
        <v>0</v>
      </c>
      <c r="L900" s="24" t="n">
        <v>0</v>
      </c>
      <c r="M900" s="6" t="s">
        <f>=I900+J900+K900+L900</f>
      </c>
      <c r="N900" s="24"/>
      <c r="O900" s="22"/>
    </row>
    <row collapsed="false" customFormat="false" customHeight="false" hidden="false" ht="12.1" outlineLevel="0" r="901">
      <c r="A901" s="21" t="n">
        <v>45751.535983796</v>
      </c>
      <c r="B901" s="22" t="s">
        <v>884</v>
      </c>
      <c r="C901" s="22" t="s">
        <v>336</v>
      </c>
      <c r="D901" s="22" t="s">
        <v>884</v>
      </c>
      <c r="E901" s="22" t="s">
        <v>884</v>
      </c>
      <c r="F901" s="22" t="s">
        <v>20</v>
      </c>
      <c r="G901" s="23" t="n">
        <v>1</v>
      </c>
      <c r="H901" s="24" t="n">
        <v>1</v>
      </c>
      <c r="I901" s="24" t="n">
        <v>5000</v>
      </c>
      <c r="J901" s="24" t="n">
        <v>0</v>
      </c>
      <c r="K901" s="24" t="n">
        <v>0</v>
      </c>
      <c r="L901" s="24" t="n">
        <v>0</v>
      </c>
      <c r="M901" s="6" t="s">
        <f>=I901+J901+K901+L901</f>
      </c>
      <c r="N901" s="24"/>
      <c r="O901" s="22"/>
    </row>
    <row collapsed="false" customFormat="false" customHeight="false" hidden="false" ht="12.1" outlineLevel="0" r="902">
      <c r="A902" s="21" t="n">
        <v>45751.536099537</v>
      </c>
      <c r="B902" s="22" t="s">
        <v>884</v>
      </c>
      <c r="C902" s="22" t="s">
        <v>336</v>
      </c>
      <c r="D902" s="22" t="s">
        <v>884</v>
      </c>
      <c r="E902" s="22" t="s">
        <v>884</v>
      </c>
      <c r="F902" s="22" t="s">
        <v>20</v>
      </c>
      <c r="G902" s="23" t="n">
        <v>1</v>
      </c>
      <c r="H902" s="24" t="n">
        <v>1</v>
      </c>
      <c r="I902" s="24" t="n">
        <v>6820</v>
      </c>
      <c r="J902" s="24" t="n">
        <v>0</v>
      </c>
      <c r="K902" s="24" t="n">
        <v>0</v>
      </c>
      <c r="L902" s="24" t="n">
        <v>0</v>
      </c>
      <c r="M902" s="6" t="s">
        <f>=I902+J902+K902+L902</f>
      </c>
      <c r="N902" s="24"/>
      <c r="O902" s="22"/>
    </row>
    <row collapsed="false" customFormat="false" customHeight="false" hidden="false" ht="12.1" outlineLevel="0" r="903">
      <c r="A903" s="20" t="n">
        <v>45751.541643519</v>
      </c>
      <c r="B903" s="2" t="s">
        <v>22</v>
      </c>
      <c r="C903" s="2" t="s">
        <v>1127</v>
      </c>
      <c r="D903" s="2" t="s">
        <v>757</v>
      </c>
      <c r="E903" s="2" t="s">
        <v>18</v>
      </c>
      <c r="F903" s="2" t="s">
        <v>20</v>
      </c>
      <c r="G903" s="7" t="n">
        <v>3</v>
      </c>
      <c r="H903" s="6" t="n">
        <v>3212.4</v>
      </c>
      <c r="I903" s="6" t="n">
        <v>-9637.2</v>
      </c>
      <c r="J903" s="6" t="n">
        <v>0</v>
      </c>
      <c r="K903" s="6" t="n">
        <v>-28.91</v>
      </c>
      <c r="L903" s="6" t="n">
        <v>0</v>
      </c>
      <c r="M903" s="6" t="s">
        <f>=I903+J903+K903+L903</f>
      </c>
      <c r="N903" s="6"/>
      <c r="O903" s="2"/>
    </row>
    <row collapsed="false" customFormat="false" customHeight="false" hidden="false" ht="12.1" outlineLevel="0" r="904">
      <c r="A904" s="20" t="n">
        <v>45751.542800926</v>
      </c>
      <c r="B904" s="2" t="s">
        <v>22</v>
      </c>
      <c r="C904" s="2" t="s">
        <v>1127</v>
      </c>
      <c r="D904" s="2" t="s">
        <v>757</v>
      </c>
      <c r="E904" s="2" t="s">
        <v>18</v>
      </c>
      <c r="F904" s="2" t="s">
        <v>20</v>
      </c>
      <c r="G904" s="7" t="n">
        <v>1</v>
      </c>
      <c r="H904" s="6" t="n">
        <v>3216</v>
      </c>
      <c r="I904" s="6" t="n">
        <v>-3216</v>
      </c>
      <c r="J904" s="6" t="n">
        <v>0</v>
      </c>
      <c r="K904" s="6" t="n">
        <v>-9.65</v>
      </c>
      <c r="L904" s="6" t="n">
        <v>0</v>
      </c>
      <c r="M904" s="6" t="s">
        <f>=I904+J904+K904+L904</f>
      </c>
      <c r="N904" s="6"/>
      <c r="O904" s="2"/>
    </row>
    <row collapsed="false" customFormat="false" customHeight="false" hidden="false" ht="12.1" outlineLevel="0" r="905">
      <c r="A905" s="20" t="n">
        <v>45751.546423611</v>
      </c>
      <c r="B905" s="2" t="s">
        <v>228</v>
      </c>
      <c r="C905" s="2" t="s">
        <v>1128</v>
      </c>
      <c r="D905" s="2" t="s">
        <v>757</v>
      </c>
      <c r="E905" s="2" t="s">
        <v>96</v>
      </c>
      <c r="F905" s="2" t="s">
        <v>20</v>
      </c>
      <c r="G905" s="7" t="n">
        <v>1</v>
      </c>
      <c r="H905" s="6" t="n">
        <v>97.75</v>
      </c>
      <c r="I905" s="6" t="n">
        <v>-977.5</v>
      </c>
      <c r="J905" s="6" t="n">
        <v>-0.62</v>
      </c>
      <c r="K905" s="6" t="n">
        <v>-2.93</v>
      </c>
      <c r="L905" s="6" t="n">
        <v>0</v>
      </c>
      <c r="M905" s="6" t="s">
        <f>=I905+J905+K905+L905</f>
      </c>
      <c r="N905" s="6"/>
      <c r="O905" s="2"/>
    </row>
    <row collapsed="false" customFormat="false" customHeight="false" hidden="false" ht="12.1" outlineLevel="0" r="906">
      <c r="A906" s="20" t="n">
        <v>45751.549722222</v>
      </c>
      <c r="B906" s="2" t="s">
        <v>243</v>
      </c>
      <c r="C906" s="2" t="s">
        <v>1129</v>
      </c>
      <c r="D906" s="2" t="s">
        <v>757</v>
      </c>
      <c r="E906" s="2" t="s">
        <v>96</v>
      </c>
      <c r="F906" s="2" t="s">
        <v>20</v>
      </c>
      <c r="G906" s="7" t="n">
        <v>1</v>
      </c>
      <c r="H906" s="6" t="n">
        <v>94.07</v>
      </c>
      <c r="I906" s="6" t="n">
        <v>-940.7</v>
      </c>
      <c r="J906" s="6" t="n">
        <v>-13.98</v>
      </c>
      <c r="K906" s="6" t="n">
        <v>-2.82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1" t="n">
        <v>45757.41349537</v>
      </c>
      <c r="B907" s="22" t="s">
        <v>891</v>
      </c>
      <c r="C907" s="22" t="s">
        <v>1130</v>
      </c>
      <c r="D907" s="22" t="s">
        <v>891</v>
      </c>
      <c r="E907" s="22" t="s">
        <v>891</v>
      </c>
      <c r="F907" s="22" t="s">
        <v>20</v>
      </c>
      <c r="G907" s="23" t="n">
        <v>1</v>
      </c>
      <c r="H907" s="24" t="n">
        <v>1</v>
      </c>
      <c r="I907" s="24" t="n">
        <v>179.52</v>
      </c>
      <c r="J907" s="24" t="n">
        <v>0</v>
      </c>
      <c r="K907" s="24" t="n">
        <v>0</v>
      </c>
      <c r="L907" s="24" t="n">
        <v>0</v>
      </c>
      <c r="M907" s="6" t="s">
        <f>=I907+J907+K907+L907</f>
      </c>
      <c r="N907" s="24"/>
      <c r="O907" s="22"/>
    </row>
    <row collapsed="false" customFormat="false" customHeight="false" hidden="false" ht="12.1" outlineLevel="0" r="908">
      <c r="A908" s="21" t="n">
        <v>45757.582384259</v>
      </c>
      <c r="B908" s="22" t="s">
        <v>891</v>
      </c>
      <c r="C908" s="22" t="s">
        <v>961</v>
      </c>
      <c r="D908" s="22" t="s">
        <v>891</v>
      </c>
      <c r="E908" s="22" t="s">
        <v>891</v>
      </c>
      <c r="F908" s="22" t="s">
        <v>20</v>
      </c>
      <c r="G908" s="23" t="n">
        <v>1</v>
      </c>
      <c r="H908" s="24" t="n">
        <v>1</v>
      </c>
      <c r="I908" s="24" t="n">
        <v>450.75</v>
      </c>
      <c r="J908" s="24" t="n">
        <v>0</v>
      </c>
      <c r="K908" s="24" t="n">
        <v>0</v>
      </c>
      <c r="L908" s="24" t="n">
        <v>0</v>
      </c>
      <c r="M908" s="6" t="s">
        <f>=I908+J908+K908+L908</f>
      </c>
      <c r="N908" s="24"/>
      <c r="O908" s="22"/>
    </row>
    <row collapsed="false" customFormat="false" customHeight="false" hidden="false" ht="12.1" outlineLevel="0" r="909">
      <c r="A909" s="21" t="n">
        <v>45763.451041667</v>
      </c>
      <c r="B909" s="22" t="s">
        <v>891</v>
      </c>
      <c r="C909" s="22" t="s">
        <v>1131</v>
      </c>
      <c r="D909" s="22" t="s">
        <v>891</v>
      </c>
      <c r="E909" s="22" t="s">
        <v>891</v>
      </c>
      <c r="F909" s="22" t="s">
        <v>20</v>
      </c>
      <c r="G909" s="23" t="n">
        <v>1</v>
      </c>
      <c r="H909" s="24" t="n">
        <v>1</v>
      </c>
      <c r="I909" s="24" t="n">
        <v>18.84</v>
      </c>
      <c r="J909" s="24" t="n">
        <v>0</v>
      </c>
      <c r="K909" s="24" t="n">
        <v>0</v>
      </c>
      <c r="L909" s="24" t="n">
        <v>0</v>
      </c>
      <c r="M909" s="6" t="s">
        <f>=I909+J909+K909+L909</f>
      </c>
      <c r="N909" s="24"/>
      <c r="O909" s="22"/>
    </row>
    <row collapsed="false" customFormat="false" customHeight="false" hidden="false" ht="12.1" outlineLevel="0" r="910">
      <c r="A910" s="21" t="n">
        <v>45763.500266204</v>
      </c>
      <c r="B910" s="22" t="s">
        <v>891</v>
      </c>
      <c r="C910" s="22" t="s">
        <v>1132</v>
      </c>
      <c r="D910" s="22" t="s">
        <v>891</v>
      </c>
      <c r="E910" s="22" t="s">
        <v>891</v>
      </c>
      <c r="F910" s="22" t="s">
        <v>20</v>
      </c>
      <c r="G910" s="23" t="n">
        <v>1</v>
      </c>
      <c r="H910" s="24" t="n">
        <v>1</v>
      </c>
      <c r="I910" s="24" t="n">
        <v>24.93</v>
      </c>
      <c r="J910" s="24" t="n">
        <v>0</v>
      </c>
      <c r="K910" s="24" t="n">
        <v>0</v>
      </c>
      <c r="L910" s="24" t="n">
        <v>0</v>
      </c>
      <c r="M910" s="6" t="s">
        <f>=I910+J910+K910+L910</f>
      </c>
      <c r="N910" s="24"/>
      <c r="O910" s="22"/>
    </row>
    <row collapsed="false" customFormat="false" customHeight="false" hidden="false" ht="12.1" outlineLevel="0" r="911">
      <c r="A911" s="21" t="n">
        <v>45764.457511574</v>
      </c>
      <c r="B911" s="22" t="s">
        <v>891</v>
      </c>
      <c r="C911" s="22" t="s">
        <v>1133</v>
      </c>
      <c r="D911" s="22" t="s">
        <v>891</v>
      </c>
      <c r="E911" s="22" t="s">
        <v>891</v>
      </c>
      <c r="F911" s="22" t="s">
        <v>20</v>
      </c>
      <c r="G911" s="23" t="n">
        <v>1</v>
      </c>
      <c r="H911" s="24" t="n">
        <v>1</v>
      </c>
      <c r="I911" s="24" t="n">
        <v>97.23</v>
      </c>
      <c r="J911" s="24" t="n">
        <v>0</v>
      </c>
      <c r="K911" s="24" t="n">
        <v>0</v>
      </c>
      <c r="L911" s="24" t="n">
        <v>0</v>
      </c>
      <c r="M911" s="6" t="s">
        <f>=I911+J911+K911+L911</f>
      </c>
      <c r="N911" s="24"/>
      <c r="O911" s="22"/>
    </row>
    <row collapsed="false" customFormat="false" customHeight="false" hidden="false" ht="12.1" outlineLevel="0" r="912">
      <c r="A912" s="21" t="n">
        <v>45764.484247685</v>
      </c>
      <c r="B912" s="22" t="s">
        <v>891</v>
      </c>
      <c r="C912" s="22" t="s">
        <v>1006</v>
      </c>
      <c r="D912" s="22" t="s">
        <v>891</v>
      </c>
      <c r="E912" s="22" t="s">
        <v>891</v>
      </c>
      <c r="F912" s="22" t="s">
        <v>20</v>
      </c>
      <c r="G912" s="23" t="n">
        <v>1</v>
      </c>
      <c r="H912" s="24" t="n">
        <v>1</v>
      </c>
      <c r="I912" s="24" t="n">
        <v>495.95</v>
      </c>
      <c r="J912" s="24" t="n">
        <v>0</v>
      </c>
      <c r="K912" s="24" t="n">
        <v>0</v>
      </c>
      <c r="L912" s="24" t="n">
        <v>0</v>
      </c>
      <c r="M912" s="6" t="s">
        <f>=I912+J912+K912+L912</f>
      </c>
      <c r="N912" s="24"/>
      <c r="O912" s="22"/>
    </row>
    <row collapsed="false" customFormat="false" customHeight="false" hidden="false" ht="12.1" outlineLevel="0" r="913">
      <c r="A913" s="21" t="n">
        <v>45764.582511574</v>
      </c>
      <c r="B913" s="22" t="s">
        <v>891</v>
      </c>
      <c r="C913" s="22" t="s">
        <v>1084</v>
      </c>
      <c r="D913" s="22" t="s">
        <v>891</v>
      </c>
      <c r="E913" s="22" t="s">
        <v>891</v>
      </c>
      <c r="F913" s="22" t="s">
        <v>20</v>
      </c>
      <c r="G913" s="23" t="n">
        <v>1</v>
      </c>
      <c r="H913" s="24" t="n">
        <v>1</v>
      </c>
      <c r="I913" s="24" t="n">
        <v>26.18</v>
      </c>
      <c r="J913" s="24" t="n">
        <v>0</v>
      </c>
      <c r="K913" s="24" t="n">
        <v>0</v>
      </c>
      <c r="L913" s="24" t="n">
        <v>0</v>
      </c>
      <c r="M913" s="6" t="s">
        <f>=I913+J913+K913+L913</f>
      </c>
      <c r="N913" s="24"/>
      <c r="O913" s="22"/>
    </row>
    <row collapsed="false" customFormat="false" customHeight="false" hidden="false" ht="12.1" outlineLevel="0" r="914">
      <c r="A914" s="21" t="n">
        <v>45770.430740741</v>
      </c>
      <c r="B914" s="22" t="s">
        <v>891</v>
      </c>
      <c r="C914" s="22" t="s">
        <v>1023</v>
      </c>
      <c r="D914" s="22" t="s">
        <v>891</v>
      </c>
      <c r="E914" s="22" t="s">
        <v>891</v>
      </c>
      <c r="F914" s="22" t="s">
        <v>20</v>
      </c>
      <c r="G914" s="23" t="n">
        <v>1</v>
      </c>
      <c r="H914" s="24" t="n">
        <v>1</v>
      </c>
      <c r="I914" s="24" t="n">
        <v>28.62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4"/>
      <c r="O914" s="22"/>
    </row>
    <row collapsed="false" customFormat="false" customHeight="false" hidden="false" ht="12.1" outlineLevel="0" r="915">
      <c r="A915" s="21" t="n">
        <v>45770.43212963</v>
      </c>
      <c r="B915" s="22" t="s">
        <v>901</v>
      </c>
      <c r="C915" s="22" t="s">
        <v>1107</v>
      </c>
      <c r="D915" s="22" t="s">
        <v>901</v>
      </c>
      <c r="E915" s="22" t="s">
        <v>901</v>
      </c>
      <c r="F915" s="22" t="s">
        <v>20</v>
      </c>
      <c r="G915" s="23" t="n">
        <v>1</v>
      </c>
      <c r="H915" s="24" t="n">
        <v>1</v>
      </c>
      <c r="I915" s="24" t="n">
        <v>165</v>
      </c>
      <c r="J915" s="24" t="n">
        <v>0</v>
      </c>
      <c r="K915" s="24" t="n">
        <v>0</v>
      </c>
      <c r="L915" s="24" t="n">
        <v>0</v>
      </c>
      <c r="M915" s="6" t="s">
        <f>=I915+J915+K915+L915</f>
      </c>
      <c r="N915" s="24"/>
      <c r="O915" s="22"/>
    </row>
    <row collapsed="false" customFormat="false" customHeight="false" hidden="false" ht="12.1" outlineLevel="0" r="916">
      <c r="A916" s="21" t="n">
        <v>45771.417974537</v>
      </c>
      <c r="B916" s="22" t="s">
        <v>891</v>
      </c>
      <c r="C916" s="22" t="s">
        <v>1008</v>
      </c>
      <c r="D916" s="22" t="s">
        <v>891</v>
      </c>
      <c r="E916" s="22" t="s">
        <v>891</v>
      </c>
      <c r="F916" s="22" t="s">
        <v>20</v>
      </c>
      <c r="G916" s="23" t="n">
        <v>1</v>
      </c>
      <c r="H916" s="24" t="n">
        <v>1</v>
      </c>
      <c r="I916" s="24" t="n">
        <v>56.52</v>
      </c>
      <c r="J916" s="24" t="n">
        <v>0</v>
      </c>
      <c r="K916" s="24" t="n">
        <v>0</v>
      </c>
      <c r="L916" s="24" t="n">
        <v>0</v>
      </c>
      <c r="M916" s="6" t="s">
        <f>=I916+J916+K916+L916</f>
      </c>
      <c r="N916" s="24"/>
      <c r="O916" s="22"/>
    </row>
    <row collapsed="false" customFormat="false" customHeight="false" hidden="false" ht="12.1" outlineLevel="0" r="917">
      <c r="A917" s="21" t="n">
        <v>45771.432488426</v>
      </c>
      <c r="B917" s="22" t="s">
        <v>891</v>
      </c>
      <c r="C917" s="22" t="s">
        <v>1079</v>
      </c>
      <c r="D917" s="22" t="s">
        <v>891</v>
      </c>
      <c r="E917" s="22" t="s">
        <v>891</v>
      </c>
      <c r="F917" s="22" t="s">
        <v>20</v>
      </c>
      <c r="G917" s="23" t="n">
        <v>1</v>
      </c>
      <c r="H917" s="24" t="n">
        <v>1</v>
      </c>
      <c r="I917" s="24" t="n">
        <v>11.18</v>
      </c>
      <c r="J917" s="24" t="n">
        <v>0</v>
      </c>
      <c r="K917" s="24" t="n">
        <v>0</v>
      </c>
      <c r="L917" s="24" t="n">
        <v>0</v>
      </c>
      <c r="M917" s="6" t="s">
        <f>=I917+J917+K917+L917</f>
      </c>
      <c r="N917" s="24"/>
      <c r="O917" s="22"/>
    </row>
    <row collapsed="false" customFormat="false" customHeight="false" hidden="false" ht="12.1" outlineLevel="0" r="918">
      <c r="A918" s="21" t="n">
        <v>45775.485520833</v>
      </c>
      <c r="B918" s="22" t="s">
        <v>891</v>
      </c>
      <c r="C918" s="22" t="s">
        <v>1063</v>
      </c>
      <c r="D918" s="22" t="s">
        <v>891</v>
      </c>
      <c r="E918" s="22" t="s">
        <v>891</v>
      </c>
      <c r="F918" s="22" t="s">
        <v>20</v>
      </c>
      <c r="G918" s="23" t="n">
        <v>1</v>
      </c>
      <c r="H918" s="24" t="n">
        <v>1</v>
      </c>
      <c r="I918" s="24" t="n">
        <v>36.32</v>
      </c>
      <c r="J918" s="24" t="n">
        <v>0</v>
      </c>
      <c r="K918" s="24" t="n">
        <v>0</v>
      </c>
      <c r="L918" s="24" t="n">
        <v>0</v>
      </c>
      <c r="M918" s="6" t="s">
        <f>=I918+J918+K918+L918</f>
      </c>
      <c r="N918" s="24"/>
      <c r="O918" s="22"/>
    </row>
    <row collapsed="false" customFormat="false" customHeight="false" hidden="false" ht="12.1" outlineLevel="0" r="919">
      <c r="A919" s="21" t="n">
        <v>45776.445740741</v>
      </c>
      <c r="B919" s="22" t="s">
        <v>884</v>
      </c>
      <c r="C919" s="22" t="s">
        <v>336</v>
      </c>
      <c r="D919" s="22" t="s">
        <v>884</v>
      </c>
      <c r="E919" s="22" t="s">
        <v>884</v>
      </c>
      <c r="F919" s="22" t="s">
        <v>20</v>
      </c>
      <c r="G919" s="23" t="n">
        <v>1</v>
      </c>
      <c r="H919" s="24" t="n">
        <v>1</v>
      </c>
      <c r="I919" s="24" t="n">
        <v>11600</v>
      </c>
      <c r="J919" s="24" t="n">
        <v>0</v>
      </c>
      <c r="K919" s="24" t="n">
        <v>0</v>
      </c>
      <c r="L919" s="24" t="n">
        <v>0</v>
      </c>
      <c r="M919" s="6" t="s">
        <f>=I919+J919+K919+L919</f>
      </c>
      <c r="N919" s="24"/>
      <c r="O919" s="22"/>
    </row>
    <row collapsed="false" customFormat="false" customHeight="false" hidden="false" ht="12.1" outlineLevel="0" r="920">
      <c r="A920" s="20" t="n">
        <v>45776.458564815</v>
      </c>
      <c r="B920" s="2" t="s">
        <v>222</v>
      </c>
      <c r="C920" s="2" t="s">
        <v>1134</v>
      </c>
      <c r="D920" s="2" t="s">
        <v>757</v>
      </c>
      <c r="E920" s="2" t="s">
        <v>96</v>
      </c>
      <c r="F920" s="2" t="s">
        <v>20</v>
      </c>
      <c r="G920" s="7" t="n">
        <v>1</v>
      </c>
      <c r="H920" s="6" t="n">
        <v>103.7</v>
      </c>
      <c r="I920" s="6" t="n">
        <v>-1037</v>
      </c>
      <c r="J920" s="6" t="n">
        <v>-5.5899999999999</v>
      </c>
      <c r="K920" s="6" t="n">
        <v>-3.11</v>
      </c>
      <c r="L920" s="6" t="n">
        <v>0</v>
      </c>
      <c r="M920" s="6" t="s">
        <f>=I920+J920+K920+L920</f>
      </c>
      <c r="N920" s="6"/>
      <c r="O920" s="2"/>
    </row>
    <row collapsed="false" customFormat="false" customHeight="false" hidden="false" ht="12.1" outlineLevel="0" r="921">
      <c r="A921" s="20" t="n">
        <v>45776.459247685</v>
      </c>
      <c r="B921" s="2" t="s">
        <v>231</v>
      </c>
      <c r="C921" s="2" t="s">
        <v>1135</v>
      </c>
      <c r="D921" s="2" t="s">
        <v>757</v>
      </c>
      <c r="E921" s="2" t="s">
        <v>96</v>
      </c>
      <c r="F921" s="2" t="s">
        <v>20</v>
      </c>
      <c r="G921" s="7" t="n">
        <v>1</v>
      </c>
      <c r="H921" s="6" t="n">
        <v>1018.5</v>
      </c>
      <c r="I921" s="6" t="n">
        <v>-1018.5</v>
      </c>
      <c r="J921" s="6" t="n">
        <v>-0.64999999999998</v>
      </c>
      <c r="K921" s="6" t="n">
        <v>-3.06</v>
      </c>
      <c r="L921" s="6" t="n">
        <v>0</v>
      </c>
      <c r="M921" s="6" t="s">
        <f>=I921+J921+K921+L921</f>
      </c>
      <c r="N921" s="6"/>
      <c r="O921" s="2"/>
    </row>
    <row collapsed="false" customFormat="false" customHeight="false" hidden="false" ht="12.1" outlineLevel="0" r="922">
      <c r="A922" s="20" t="n">
        <v>45776.459953704</v>
      </c>
      <c r="B922" s="2" t="s">
        <v>216</v>
      </c>
      <c r="C922" s="2" t="s">
        <v>1136</v>
      </c>
      <c r="D922" s="2" t="s">
        <v>757</v>
      </c>
      <c r="E922" s="2" t="s">
        <v>96</v>
      </c>
      <c r="F922" s="2" t="s">
        <v>20</v>
      </c>
      <c r="G922" s="7" t="n">
        <v>1</v>
      </c>
      <c r="H922" s="6" t="n">
        <v>101.55</v>
      </c>
      <c r="I922" s="6" t="n">
        <v>-1015.5</v>
      </c>
      <c r="J922" s="6" t="n">
        <v>-14.01</v>
      </c>
      <c r="K922" s="6" t="n">
        <v>-3.05</v>
      </c>
      <c r="L922" s="6" t="n">
        <v>0</v>
      </c>
      <c r="M922" s="6" t="s">
        <f>=I922+J922+K922+L922</f>
      </c>
      <c r="N922" s="6"/>
      <c r="O922" s="2"/>
    </row>
    <row collapsed="false" customFormat="false" customHeight="false" hidden="false" ht="12.1" outlineLevel="0" r="923">
      <c r="A923" s="20" t="n">
        <v>45776.460300926</v>
      </c>
      <c r="B923" s="2" t="s">
        <v>201</v>
      </c>
      <c r="C923" s="2" t="s">
        <v>1076</v>
      </c>
      <c r="D923" s="2" t="s">
        <v>757</v>
      </c>
      <c r="E923" s="2" t="s">
        <v>96</v>
      </c>
      <c r="F923" s="2" t="s">
        <v>20</v>
      </c>
      <c r="G923" s="7" t="n">
        <v>1</v>
      </c>
      <c r="H923" s="6" t="n">
        <v>78.91</v>
      </c>
      <c r="I923" s="6" t="n">
        <v>-789.1</v>
      </c>
      <c r="J923" s="6" t="n">
        <v>-29.86</v>
      </c>
      <c r="K923" s="6" t="n">
        <v>-2.37</v>
      </c>
      <c r="L923" s="6" t="n">
        <v>0</v>
      </c>
      <c r="M923" s="6" t="s">
        <f>=I923+J923+K923+L923</f>
      </c>
      <c r="N923" s="6"/>
      <c r="O923" s="2"/>
    </row>
    <row collapsed="false" customFormat="false" customHeight="false" hidden="false" ht="12.1" outlineLevel="0" r="924">
      <c r="A924" s="20" t="n">
        <v>45776.460625</v>
      </c>
      <c r="B924" s="2" t="s">
        <v>300</v>
      </c>
      <c r="C924" s="2" t="s">
        <v>1137</v>
      </c>
      <c r="D924" s="2" t="s">
        <v>757</v>
      </c>
      <c r="E924" s="2" t="s">
        <v>96</v>
      </c>
      <c r="F924" s="2" t="s">
        <v>20</v>
      </c>
      <c r="G924" s="7" t="n">
        <v>1</v>
      </c>
      <c r="H924" s="6" t="n">
        <v>81.3</v>
      </c>
      <c r="I924" s="6" t="n">
        <v>-813</v>
      </c>
      <c r="J924" s="6" t="n">
        <v>-16.37</v>
      </c>
      <c r="K924" s="6" t="n">
        <v>-2.44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0" t="n">
        <v>45776.461087963</v>
      </c>
      <c r="B925" s="2" t="s">
        <v>207</v>
      </c>
      <c r="C925" s="2" t="s">
        <v>1117</v>
      </c>
      <c r="D925" s="2" t="s">
        <v>757</v>
      </c>
      <c r="E925" s="2" t="s">
        <v>96</v>
      </c>
      <c r="F925" s="2" t="s">
        <v>20</v>
      </c>
      <c r="G925" s="7" t="n">
        <v>1</v>
      </c>
      <c r="H925" s="6" t="n">
        <v>77.81</v>
      </c>
      <c r="I925" s="6" t="n">
        <v>-778.1</v>
      </c>
      <c r="J925" s="6" t="n">
        <v>-4.11</v>
      </c>
      <c r="K925" s="6" t="n">
        <v>-2.33</v>
      </c>
      <c r="L925" s="6" t="n">
        <v>0</v>
      </c>
      <c r="M925" s="6" t="s">
        <f>=I925+J925+K925+L925</f>
      </c>
      <c r="N925" s="6"/>
      <c r="O925" s="2"/>
    </row>
    <row collapsed="false" customFormat="false" customHeight="false" hidden="false" ht="12.1" outlineLevel="0" r="926">
      <c r="A926" s="20" t="n">
        <v>45776.461979167</v>
      </c>
      <c r="B926" s="2" t="s">
        <v>129</v>
      </c>
      <c r="C926" s="2" t="s">
        <v>1081</v>
      </c>
      <c r="D926" s="2" t="s">
        <v>757</v>
      </c>
      <c r="E926" s="2" t="s">
        <v>96</v>
      </c>
      <c r="F926" s="2" t="s">
        <v>20</v>
      </c>
      <c r="G926" s="7" t="n">
        <v>1</v>
      </c>
      <c r="H926" s="6" t="n">
        <v>81.7</v>
      </c>
      <c r="I926" s="6" t="n">
        <v>-817</v>
      </c>
      <c r="J926" s="6" t="n">
        <v>-49.33</v>
      </c>
      <c r="K926" s="6" t="n">
        <v>-2.45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0" t="n">
        <v>45776.462175926</v>
      </c>
      <c r="B927" s="2" t="s">
        <v>156</v>
      </c>
      <c r="C927" s="2" t="s">
        <v>1113</v>
      </c>
      <c r="D927" s="2" t="s">
        <v>757</v>
      </c>
      <c r="E927" s="2" t="s">
        <v>96</v>
      </c>
      <c r="F927" s="2" t="s">
        <v>20</v>
      </c>
      <c r="G927" s="7" t="n">
        <v>1</v>
      </c>
      <c r="H927" s="6" t="n">
        <v>825.43</v>
      </c>
      <c r="I927" s="6" t="n">
        <v>-825.43</v>
      </c>
      <c r="J927" s="6" t="n">
        <v>-6.9000000000001</v>
      </c>
      <c r="K927" s="6" t="n">
        <v>-2.48</v>
      </c>
      <c r="L927" s="6" t="n">
        <v>0</v>
      </c>
      <c r="M927" s="6" t="s">
        <f>=I927+J927+K927+L927</f>
      </c>
      <c r="N927" s="6"/>
      <c r="O927" s="2"/>
    </row>
    <row collapsed="false" customFormat="false" customHeight="false" hidden="false" ht="12.1" outlineLevel="0" r="928">
      <c r="A928" s="20" t="n">
        <v>45776.462384259</v>
      </c>
      <c r="B928" s="2" t="s">
        <v>147</v>
      </c>
      <c r="C928" s="2" t="s">
        <v>1080</v>
      </c>
      <c r="D928" s="2" t="s">
        <v>757</v>
      </c>
      <c r="E928" s="2" t="s">
        <v>96</v>
      </c>
      <c r="F928" s="2" t="s">
        <v>20</v>
      </c>
      <c r="G928" s="7" t="n">
        <v>1</v>
      </c>
      <c r="H928" s="6" t="n">
        <v>81.95</v>
      </c>
      <c r="I928" s="6" t="n">
        <v>-819.5</v>
      </c>
      <c r="J928" s="6" t="n">
        <v>-51.68</v>
      </c>
      <c r="K928" s="6" t="n">
        <v>-2.46</v>
      </c>
      <c r="L928" s="6" t="n">
        <v>0</v>
      </c>
      <c r="M928" s="6" t="s">
        <f>=I928+J928+K928+L928</f>
      </c>
      <c r="N928" s="6"/>
      <c r="O928" s="2"/>
    </row>
    <row collapsed="false" customFormat="false" customHeight="false" hidden="false" ht="12.1" outlineLevel="0" r="929">
      <c r="A929" s="20" t="n">
        <v>45776.46255787</v>
      </c>
      <c r="B929" s="2" t="s">
        <v>144</v>
      </c>
      <c r="C929" s="2" t="s">
        <v>1112</v>
      </c>
      <c r="D929" s="2" t="s">
        <v>757</v>
      </c>
      <c r="E929" s="2" t="s">
        <v>96</v>
      </c>
      <c r="F929" s="2" t="s">
        <v>20</v>
      </c>
      <c r="G929" s="7" t="n">
        <v>1</v>
      </c>
      <c r="H929" s="6" t="n">
        <v>82.371</v>
      </c>
      <c r="I929" s="6" t="n">
        <v>-823.71</v>
      </c>
      <c r="J929" s="6" t="n">
        <v>-11.51</v>
      </c>
      <c r="K929" s="6" t="n">
        <v>-2.47</v>
      </c>
      <c r="L929" s="6" t="n">
        <v>0</v>
      </c>
      <c r="M929" s="6" t="s">
        <f>=I929+J929+K929+L929</f>
      </c>
      <c r="N929" s="6"/>
      <c r="O929" s="2"/>
    </row>
    <row collapsed="false" customFormat="false" customHeight="false" hidden="false" ht="12.1" outlineLevel="0" r="930">
      <c r="A930" s="20" t="n">
        <v>45776.462789352</v>
      </c>
      <c r="B930" s="2" t="s">
        <v>120</v>
      </c>
      <c r="C930" s="2" t="s">
        <v>995</v>
      </c>
      <c r="D930" s="2" t="s">
        <v>757</v>
      </c>
      <c r="E930" s="2" t="s">
        <v>96</v>
      </c>
      <c r="F930" s="2" t="s">
        <v>20</v>
      </c>
      <c r="G930" s="7" t="n">
        <v>1</v>
      </c>
      <c r="H930" s="6" t="n">
        <v>69.102</v>
      </c>
      <c r="I930" s="6" t="n">
        <v>-691.02</v>
      </c>
      <c r="J930" s="6" t="n">
        <v>-39.47</v>
      </c>
      <c r="K930" s="6" t="n">
        <v>-2.07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45776.462939815</v>
      </c>
      <c r="B931" s="2" t="s">
        <v>132</v>
      </c>
      <c r="C931" s="2" t="s">
        <v>927</v>
      </c>
      <c r="D931" s="2" t="s">
        <v>757</v>
      </c>
      <c r="E931" s="2" t="s">
        <v>96</v>
      </c>
      <c r="F931" s="2" t="s">
        <v>20</v>
      </c>
      <c r="G931" s="7" t="n">
        <v>1</v>
      </c>
      <c r="H931" s="6" t="n">
        <v>65.971</v>
      </c>
      <c r="I931" s="6" t="n">
        <v>-659.71</v>
      </c>
      <c r="J931" s="6" t="n">
        <v>-5.91</v>
      </c>
      <c r="K931" s="6" t="n">
        <v>-1.98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45776.463298611</v>
      </c>
      <c r="B932" s="2" t="s">
        <v>22</v>
      </c>
      <c r="C932" s="2" t="s">
        <v>1127</v>
      </c>
      <c r="D932" s="2" t="s">
        <v>757</v>
      </c>
      <c r="E932" s="2" t="s">
        <v>18</v>
      </c>
      <c r="F932" s="2" t="s">
        <v>20</v>
      </c>
      <c r="G932" s="7" t="n">
        <v>1</v>
      </c>
      <c r="H932" s="6" t="n">
        <v>3276.4</v>
      </c>
      <c r="I932" s="6" t="n">
        <v>-3276.4</v>
      </c>
      <c r="J932" s="6" t="n">
        <v>0</v>
      </c>
      <c r="K932" s="6" t="n">
        <v>-9.83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1" t="n">
        <v>45776.506759259</v>
      </c>
      <c r="B933" s="22" t="s">
        <v>891</v>
      </c>
      <c r="C933" s="22" t="s">
        <v>1035</v>
      </c>
      <c r="D933" s="22" t="s">
        <v>891</v>
      </c>
      <c r="E933" s="22" t="s">
        <v>891</v>
      </c>
      <c r="F933" s="22" t="s">
        <v>20</v>
      </c>
      <c r="G933" s="23" t="n">
        <v>1</v>
      </c>
      <c r="H933" s="24" t="n">
        <v>1</v>
      </c>
      <c r="I933" s="24" t="n">
        <v>19.17</v>
      </c>
      <c r="J933" s="24" t="n">
        <v>0</v>
      </c>
      <c r="K933" s="24" t="n">
        <v>0</v>
      </c>
      <c r="L933" s="24" t="n">
        <v>0</v>
      </c>
      <c r="M933" s="6" t="s">
        <f>=I933+J933+K933+L933</f>
      </c>
      <c r="N933" s="24"/>
      <c r="O933" s="22"/>
    </row>
    <row collapsed="false" customFormat="false" customHeight="false" hidden="false" ht="12.1" outlineLevel="0" r="934">
      <c r="A934" s="25" t="n">
        <v>45776.529143519</v>
      </c>
      <c r="B934" s="26" t="s">
        <v>917</v>
      </c>
      <c r="C934" s="26" t="s">
        <v>1138</v>
      </c>
      <c r="D934" s="26" t="s">
        <v>917</v>
      </c>
      <c r="E934" s="26" t="s">
        <v>917</v>
      </c>
      <c r="F934" s="26" t="s">
        <v>20</v>
      </c>
      <c r="G934" s="27" t="n">
        <v>1</v>
      </c>
      <c r="H934" s="28" t="n">
        <v>-95</v>
      </c>
      <c r="I934" s="28" t="n">
        <v>-95</v>
      </c>
      <c r="J934" s="28" t="n">
        <v>0</v>
      </c>
      <c r="K934" s="28" t="n">
        <v>0</v>
      </c>
      <c r="L934" s="28" t="n">
        <v>0</v>
      </c>
      <c r="M934" s="6" t="s">
        <f>=I934+J934+K934+L934</f>
      </c>
      <c r="N934" s="28"/>
      <c r="O934" s="26"/>
    </row>
    <row collapsed="false" customFormat="false" customHeight="false" hidden="false" ht="12.1" outlineLevel="0" r="935">
      <c r="A935" s="21" t="n">
        <v>45776.529143519</v>
      </c>
      <c r="B935" s="22" t="s">
        <v>891</v>
      </c>
      <c r="C935" s="22" t="s">
        <v>1139</v>
      </c>
      <c r="D935" s="22" t="s">
        <v>891</v>
      </c>
      <c r="E935" s="22" t="s">
        <v>891</v>
      </c>
      <c r="F935" s="22" t="s">
        <v>20</v>
      </c>
      <c r="G935" s="23" t="n">
        <v>1</v>
      </c>
      <c r="H935" s="24" t="n">
        <v>1</v>
      </c>
      <c r="I935" s="24" t="n">
        <v>730</v>
      </c>
      <c r="J935" s="24" t="n">
        <v>0</v>
      </c>
      <c r="K935" s="24" t="n">
        <v>0</v>
      </c>
      <c r="L935" s="24" t="n">
        <v>0</v>
      </c>
      <c r="M935" s="6" t="s">
        <f>=I935+J935+K935+L935</f>
      </c>
      <c r="N935" s="24"/>
      <c r="O935" s="22"/>
    </row>
    <row collapsed="false" customFormat="false" customHeight="false" hidden="false" ht="12.1" outlineLevel="0" r="936">
      <c r="A936" s="21" t="n">
        <v>45777.462719907</v>
      </c>
      <c r="B936" s="22" t="s">
        <v>891</v>
      </c>
      <c r="C936" s="22" t="s">
        <v>1064</v>
      </c>
      <c r="D936" s="22" t="s">
        <v>891</v>
      </c>
      <c r="E936" s="22" t="s">
        <v>891</v>
      </c>
      <c r="F936" s="22" t="s">
        <v>20</v>
      </c>
      <c r="G936" s="23" t="n">
        <v>1</v>
      </c>
      <c r="H936" s="24" t="n">
        <v>1</v>
      </c>
      <c r="I936" s="24" t="n">
        <v>58.34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4"/>
      <c r="O936" s="22"/>
    </row>
    <row collapsed="false" customFormat="false" customHeight="false" hidden="false" ht="12.1" outlineLevel="0" r="937">
      <c r="A937" s="21" t="n">
        <v>45777.737280093</v>
      </c>
      <c r="B937" s="22" t="s">
        <v>891</v>
      </c>
      <c r="C937" s="22" t="s">
        <v>945</v>
      </c>
      <c r="D937" s="22" t="s">
        <v>891</v>
      </c>
      <c r="E937" s="22" t="s">
        <v>891</v>
      </c>
      <c r="F937" s="22" t="s">
        <v>20</v>
      </c>
      <c r="G937" s="23" t="n">
        <v>1</v>
      </c>
      <c r="H937" s="24" t="n">
        <v>1</v>
      </c>
      <c r="I937" s="24" t="n">
        <v>28.22</v>
      </c>
      <c r="J937" s="24" t="n">
        <v>0</v>
      </c>
      <c r="K937" s="24" t="n">
        <v>0</v>
      </c>
      <c r="L937" s="24" t="n">
        <v>0</v>
      </c>
      <c r="M937" s="6" t="s">
        <f>=I937+J937+K937+L937</f>
      </c>
      <c r="N937" s="24"/>
      <c r="O937" s="22"/>
    </row>
    <row collapsed="false" customFormat="false" customHeight="false" hidden="false" ht="12.1" outlineLevel="0" r="938">
      <c r="A938" s="21" t="n">
        <v>45782.473877315</v>
      </c>
      <c r="B938" s="22" t="s">
        <v>891</v>
      </c>
      <c r="C938" s="22" t="s">
        <v>1009</v>
      </c>
      <c r="D938" s="22" t="s">
        <v>891</v>
      </c>
      <c r="E938" s="22" t="s">
        <v>891</v>
      </c>
      <c r="F938" s="22" t="s">
        <v>20</v>
      </c>
      <c r="G938" s="23" t="n">
        <v>1</v>
      </c>
      <c r="H938" s="24" t="n">
        <v>1</v>
      </c>
      <c r="I938" s="24" t="n">
        <v>52.59</v>
      </c>
      <c r="J938" s="24" t="n">
        <v>0</v>
      </c>
      <c r="K938" s="24" t="n">
        <v>0</v>
      </c>
      <c r="L938" s="24" t="n">
        <v>0</v>
      </c>
      <c r="M938" s="6" t="s">
        <f>=I938+J938+K938+L938</f>
      </c>
      <c r="N938" s="24"/>
      <c r="O938" s="22"/>
    </row>
    <row collapsed="false" customFormat="false" customHeight="false" hidden="false" ht="12.1" outlineLevel="0" r="939">
      <c r="A939" s="21" t="n">
        <v>45782.723854167</v>
      </c>
      <c r="B939" s="22" t="s">
        <v>891</v>
      </c>
      <c r="C939" s="22" t="s">
        <v>929</v>
      </c>
      <c r="D939" s="22" t="s">
        <v>891</v>
      </c>
      <c r="E939" s="22" t="s">
        <v>891</v>
      </c>
      <c r="F939" s="22" t="s">
        <v>20</v>
      </c>
      <c r="G939" s="23" t="n">
        <v>1</v>
      </c>
      <c r="H939" s="24" t="n">
        <v>1</v>
      </c>
      <c r="I939" s="24" t="n">
        <v>42.38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2"/>
    </row>
    <row collapsed="false" customFormat="false" customHeight="false" hidden="false" ht="12.1" outlineLevel="0" r="940">
      <c r="A940" s="21" t="n">
        <v>45782.739201389</v>
      </c>
      <c r="B940" s="22" t="s">
        <v>901</v>
      </c>
      <c r="C940" s="22" t="s">
        <v>1140</v>
      </c>
      <c r="D940" s="22" t="s">
        <v>901</v>
      </c>
      <c r="E940" s="22" t="s">
        <v>901</v>
      </c>
      <c r="F940" s="22" t="s">
        <v>20</v>
      </c>
      <c r="G940" s="23" t="n">
        <v>1</v>
      </c>
      <c r="H940" s="24" t="n">
        <v>1</v>
      </c>
      <c r="I940" s="24" t="n">
        <v>1000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2"/>
    </row>
    <row collapsed="false" customFormat="false" customHeight="false" hidden="false" ht="12.1" outlineLevel="0" r="941">
      <c r="A941" s="21" t="n">
        <v>45782.838171296</v>
      </c>
      <c r="B941" s="22" t="s">
        <v>891</v>
      </c>
      <c r="C941" s="22" t="s">
        <v>1141</v>
      </c>
      <c r="D941" s="22" t="s">
        <v>891</v>
      </c>
      <c r="E941" s="22" t="s">
        <v>891</v>
      </c>
      <c r="F941" s="22" t="s">
        <v>20</v>
      </c>
      <c r="G941" s="23" t="n">
        <v>1</v>
      </c>
      <c r="H941" s="24" t="n">
        <v>1</v>
      </c>
      <c r="I941" s="24" t="n">
        <v>59.19</v>
      </c>
      <c r="J941" s="24" t="n">
        <v>0</v>
      </c>
      <c r="K941" s="24" t="n">
        <v>0</v>
      </c>
      <c r="L941" s="24" t="n">
        <v>0</v>
      </c>
      <c r="M941" s="6" t="s">
        <f>=I941+J941+K941+L941</f>
      </c>
      <c r="N941" s="24"/>
      <c r="O941" s="22"/>
    </row>
    <row collapsed="false" customFormat="false" customHeight="false" hidden="false" ht="12.1" outlineLevel="0" r="942">
      <c r="A942" s="21" t="n">
        <v>45782.840949074</v>
      </c>
      <c r="B942" s="22" t="s">
        <v>891</v>
      </c>
      <c r="C942" s="22" t="s">
        <v>1002</v>
      </c>
      <c r="D942" s="22" t="s">
        <v>891</v>
      </c>
      <c r="E942" s="22" t="s">
        <v>891</v>
      </c>
      <c r="F942" s="22" t="s">
        <v>20</v>
      </c>
      <c r="G942" s="23" t="n">
        <v>1</v>
      </c>
      <c r="H942" s="24" t="n">
        <v>1</v>
      </c>
      <c r="I942" s="24" t="n">
        <v>38.76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4"/>
      <c r="O942" s="22"/>
    </row>
    <row collapsed="false" customFormat="false" customHeight="false" hidden="false" ht="12.1" outlineLevel="0" r="943">
      <c r="A943" s="21" t="n">
        <v>45783.481261574</v>
      </c>
      <c r="B943" s="22" t="s">
        <v>891</v>
      </c>
      <c r="C943" s="22" t="s">
        <v>1086</v>
      </c>
      <c r="D943" s="22" t="s">
        <v>891</v>
      </c>
      <c r="E943" s="22" t="s">
        <v>891</v>
      </c>
      <c r="F943" s="22" t="s">
        <v>20</v>
      </c>
      <c r="G943" s="23" t="n">
        <v>1</v>
      </c>
      <c r="H943" s="24" t="n">
        <v>1</v>
      </c>
      <c r="I943" s="24" t="n">
        <v>23.86</v>
      </c>
      <c r="J943" s="24" t="n">
        <v>0</v>
      </c>
      <c r="K943" s="24" t="n">
        <v>0</v>
      </c>
      <c r="L943" s="24" t="n">
        <v>0</v>
      </c>
      <c r="M943" s="6" t="s">
        <f>=I943+J943+K943+L943</f>
      </c>
      <c r="N943" s="24"/>
      <c r="O943" s="22"/>
    </row>
    <row collapsed="false" customFormat="false" customHeight="false" hidden="false" ht="12.1" outlineLevel="0" r="944">
      <c r="A944" s="21" t="n">
        <v>45789.499814815</v>
      </c>
      <c r="B944" s="22" t="s">
        <v>891</v>
      </c>
      <c r="C944" s="22" t="s">
        <v>1142</v>
      </c>
      <c r="D944" s="22" t="s">
        <v>891</v>
      </c>
      <c r="E944" s="22" t="s">
        <v>891</v>
      </c>
      <c r="F944" s="22" t="s">
        <v>20</v>
      </c>
      <c r="G944" s="23" t="n">
        <v>1</v>
      </c>
      <c r="H944" s="24" t="n">
        <v>1</v>
      </c>
      <c r="I944" s="24" t="n">
        <v>19.24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1" t="n">
        <v>45790.559664352</v>
      </c>
      <c r="B945" s="22" t="s">
        <v>891</v>
      </c>
      <c r="C945" s="22" t="s">
        <v>1143</v>
      </c>
      <c r="D945" s="22" t="s">
        <v>891</v>
      </c>
      <c r="E945" s="22" t="s">
        <v>891</v>
      </c>
      <c r="F945" s="22" t="s">
        <v>20</v>
      </c>
      <c r="G945" s="23" t="n">
        <v>1</v>
      </c>
      <c r="H945" s="24" t="n">
        <v>1</v>
      </c>
      <c r="I945" s="24" t="n">
        <v>297.2</v>
      </c>
      <c r="J945" s="24" t="n">
        <v>0</v>
      </c>
      <c r="K945" s="24" t="n">
        <v>0</v>
      </c>
      <c r="L945" s="24" t="n">
        <v>0</v>
      </c>
      <c r="M945" s="6" t="s">
        <f>=I945+J945+K945+L945</f>
      </c>
      <c r="N945" s="24"/>
      <c r="O945" s="22"/>
    </row>
    <row collapsed="false" customFormat="false" customHeight="false" hidden="false" ht="12.1" outlineLevel="0" r="946">
      <c r="A946" s="25" t="n">
        <v>45790.559664352</v>
      </c>
      <c r="B946" s="26" t="s">
        <v>917</v>
      </c>
      <c r="C946" s="26" t="s">
        <v>1144</v>
      </c>
      <c r="D946" s="26" t="s">
        <v>917</v>
      </c>
      <c r="E946" s="26" t="s">
        <v>917</v>
      </c>
      <c r="F946" s="26" t="s">
        <v>20</v>
      </c>
      <c r="G946" s="27" t="n">
        <v>1</v>
      </c>
      <c r="H946" s="28" t="n">
        <v>-39</v>
      </c>
      <c r="I946" s="28" t="n">
        <v>-39</v>
      </c>
      <c r="J946" s="28" t="n">
        <v>0</v>
      </c>
      <c r="K946" s="28" t="n">
        <v>0</v>
      </c>
      <c r="L946" s="28" t="n">
        <v>0</v>
      </c>
      <c r="M946" s="6" t="s">
        <f>=I946+J946+K946+L946</f>
      </c>
      <c r="N946" s="28"/>
      <c r="O946" s="26"/>
    </row>
    <row collapsed="false" customFormat="false" customHeight="false" hidden="false" ht="12.1" outlineLevel="0" r="947">
      <c r="A947" s="21" t="n">
        <v>45790.647256944</v>
      </c>
      <c r="B947" s="22" t="s">
        <v>891</v>
      </c>
      <c r="C947" s="22" t="s">
        <v>1145</v>
      </c>
      <c r="D947" s="22" t="s">
        <v>891</v>
      </c>
      <c r="E947" s="22" t="s">
        <v>891</v>
      </c>
      <c r="F947" s="22" t="s">
        <v>20</v>
      </c>
      <c r="G947" s="23" t="n">
        <v>1</v>
      </c>
      <c r="H947" s="24" t="n">
        <v>1</v>
      </c>
      <c r="I947" s="24" t="n">
        <v>90.76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2"/>
    </row>
    <row collapsed="false" customFormat="false" customHeight="false" hidden="false" ht="12.1" outlineLevel="0" r="948">
      <c r="A948" s="21" t="n">
        <v>45790.675393519</v>
      </c>
      <c r="B948" s="22" t="s">
        <v>891</v>
      </c>
      <c r="C948" s="22" t="s">
        <v>1146</v>
      </c>
      <c r="D948" s="22" t="s">
        <v>891</v>
      </c>
      <c r="E948" s="22" t="s">
        <v>891</v>
      </c>
      <c r="F948" s="22" t="s">
        <v>20</v>
      </c>
      <c r="G948" s="23" t="n">
        <v>1</v>
      </c>
      <c r="H948" s="24" t="n">
        <v>1</v>
      </c>
      <c r="I948" s="24" t="n">
        <v>19.11</v>
      </c>
      <c r="J948" s="24" t="n">
        <v>0</v>
      </c>
      <c r="K948" s="24" t="n">
        <v>0</v>
      </c>
      <c r="L948" s="24" t="n">
        <v>0</v>
      </c>
      <c r="M948" s="6" t="s">
        <f>=I948+J948+K948+L948</f>
      </c>
      <c r="N948" s="24"/>
      <c r="O948" s="22"/>
    </row>
    <row collapsed="false" customFormat="false" customHeight="false" hidden="false" ht="12.1" outlineLevel="0" r="949">
      <c r="A949" s="21" t="n">
        <v>45792.482314815</v>
      </c>
      <c r="B949" s="22" t="s">
        <v>891</v>
      </c>
      <c r="C949" s="22" t="s">
        <v>1042</v>
      </c>
      <c r="D949" s="22" t="s">
        <v>891</v>
      </c>
      <c r="E949" s="22" t="s">
        <v>891</v>
      </c>
      <c r="F949" s="22" t="s">
        <v>20</v>
      </c>
      <c r="G949" s="23" t="n">
        <v>1</v>
      </c>
      <c r="H949" s="24" t="n">
        <v>1</v>
      </c>
      <c r="I949" s="24" t="n">
        <v>4.67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2"/>
    </row>
    <row collapsed="false" customFormat="false" customHeight="false" hidden="false" ht="12.1" outlineLevel="0" r="950">
      <c r="A950" s="21" t="n">
        <v>45792.495636574</v>
      </c>
      <c r="B950" s="22" t="s">
        <v>891</v>
      </c>
      <c r="C950" s="22" t="s">
        <v>930</v>
      </c>
      <c r="D950" s="22" t="s">
        <v>891</v>
      </c>
      <c r="E950" s="22" t="s">
        <v>891</v>
      </c>
      <c r="F950" s="22" t="s">
        <v>20</v>
      </c>
      <c r="G950" s="23" t="n">
        <v>1</v>
      </c>
      <c r="H950" s="24" t="n">
        <v>1</v>
      </c>
      <c r="I950" s="24" t="n">
        <v>1033.89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45796.498935185</v>
      </c>
      <c r="B951" s="22" t="s">
        <v>891</v>
      </c>
      <c r="C951" s="22" t="s">
        <v>1131</v>
      </c>
      <c r="D951" s="22" t="s">
        <v>891</v>
      </c>
      <c r="E951" s="22" t="s">
        <v>891</v>
      </c>
      <c r="F951" s="22" t="s">
        <v>20</v>
      </c>
      <c r="G951" s="23" t="n">
        <v>1</v>
      </c>
      <c r="H951" s="24" t="n">
        <v>1</v>
      </c>
      <c r="I951" s="24" t="n">
        <v>19.21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5" t="n">
        <v>45796.626712963</v>
      </c>
      <c r="B952" s="26" t="s">
        <v>917</v>
      </c>
      <c r="C952" s="26" t="s">
        <v>1039</v>
      </c>
      <c r="D952" s="26" t="s">
        <v>917</v>
      </c>
      <c r="E952" s="26" t="s">
        <v>917</v>
      </c>
      <c r="F952" s="26" t="s">
        <v>20</v>
      </c>
      <c r="G952" s="27" t="n">
        <v>1</v>
      </c>
      <c r="H952" s="28" t="n">
        <v>-6</v>
      </c>
      <c r="I952" s="28" t="n">
        <v>-6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1" t="n">
        <v>45796.626712963</v>
      </c>
      <c r="B953" s="22" t="s">
        <v>891</v>
      </c>
      <c r="C953" s="22" t="s">
        <v>1038</v>
      </c>
      <c r="D953" s="22" t="s">
        <v>891</v>
      </c>
      <c r="E953" s="22" t="s">
        <v>891</v>
      </c>
      <c r="F953" s="22" t="s">
        <v>20</v>
      </c>
      <c r="G953" s="23" t="n">
        <v>1</v>
      </c>
      <c r="H953" s="24" t="n">
        <v>1</v>
      </c>
      <c r="I953" s="24" t="n">
        <v>46.65</v>
      </c>
      <c r="J953" s="24" t="n">
        <v>0</v>
      </c>
      <c r="K953" s="24" t="n">
        <v>0</v>
      </c>
      <c r="L953" s="24" t="n">
        <v>0</v>
      </c>
      <c r="M953" s="6" t="s">
        <f>=I953+J953+K953+L953</f>
      </c>
      <c r="N953" s="24"/>
      <c r="O953" s="22"/>
    </row>
    <row collapsed="false" customFormat="false" customHeight="false" hidden="false" ht="12.1" outlineLevel="0" r="954">
      <c r="A954" s="21" t="n">
        <v>45797.538773148</v>
      </c>
      <c r="B954" s="22" t="s">
        <v>891</v>
      </c>
      <c r="C954" s="22" t="s">
        <v>965</v>
      </c>
      <c r="D954" s="22" t="s">
        <v>891</v>
      </c>
      <c r="E954" s="22" t="s">
        <v>891</v>
      </c>
      <c r="F954" s="22" t="s">
        <v>20</v>
      </c>
      <c r="G954" s="23" t="n">
        <v>1</v>
      </c>
      <c r="H954" s="24" t="n">
        <v>1</v>
      </c>
      <c r="I954" s="24" t="n">
        <v>12.96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2"/>
    </row>
    <row collapsed="false" customFormat="false" customHeight="false" hidden="false" ht="12.1" outlineLevel="0" r="955">
      <c r="A955" s="21" t="n">
        <v>45797.540092593</v>
      </c>
      <c r="B955" s="22" t="s">
        <v>901</v>
      </c>
      <c r="C955" s="22" t="s">
        <v>1147</v>
      </c>
      <c r="D955" s="22" t="s">
        <v>901</v>
      </c>
      <c r="E955" s="22" t="s">
        <v>901</v>
      </c>
      <c r="F955" s="22" t="s">
        <v>20</v>
      </c>
      <c r="G955" s="23" t="n">
        <v>1</v>
      </c>
      <c r="H955" s="24" t="n">
        <v>1</v>
      </c>
      <c r="I955" s="24" t="n">
        <v>400</v>
      </c>
      <c r="J955" s="24" t="n">
        <v>0</v>
      </c>
      <c r="K955" s="24" t="n">
        <v>0</v>
      </c>
      <c r="L955" s="24" t="n">
        <v>0</v>
      </c>
      <c r="M955" s="6" t="s">
        <f>=I955+J955+K955+L955</f>
      </c>
      <c r="N955" s="24"/>
      <c r="O955" s="22"/>
    </row>
    <row collapsed="false" customFormat="false" customHeight="false" hidden="false" ht="12.1" outlineLevel="0" r="956">
      <c r="A956" s="21" t="n">
        <v>45799.278125</v>
      </c>
      <c r="B956" s="22" t="s">
        <v>891</v>
      </c>
      <c r="C956" s="22" t="s">
        <v>1148</v>
      </c>
      <c r="D956" s="22" t="s">
        <v>891</v>
      </c>
      <c r="E956" s="22" t="s">
        <v>891</v>
      </c>
      <c r="F956" s="22" t="s">
        <v>20</v>
      </c>
      <c r="G956" s="23" t="n">
        <v>1</v>
      </c>
      <c r="H956" s="24" t="n">
        <v>1</v>
      </c>
      <c r="I956" s="24" t="n">
        <v>192</v>
      </c>
      <c r="J956" s="24" t="n">
        <v>0</v>
      </c>
      <c r="K956" s="24" t="n">
        <v>0</v>
      </c>
      <c r="L956" s="24" t="n">
        <v>0</v>
      </c>
      <c r="M956" s="6" t="s">
        <f>=I956+J956+K956+L956</f>
      </c>
      <c r="N956" s="24"/>
      <c r="O956" s="22"/>
    </row>
    <row collapsed="false" customFormat="false" customHeight="false" hidden="false" ht="12.1" outlineLevel="0" r="957">
      <c r="A957" s="25" t="n">
        <v>45799.278125</v>
      </c>
      <c r="B957" s="26" t="s">
        <v>917</v>
      </c>
      <c r="C957" s="26" t="s">
        <v>1149</v>
      </c>
      <c r="D957" s="26" t="s">
        <v>917</v>
      </c>
      <c r="E957" s="26" t="s">
        <v>917</v>
      </c>
      <c r="F957" s="26" t="s">
        <v>20</v>
      </c>
      <c r="G957" s="27" t="n">
        <v>1</v>
      </c>
      <c r="H957" s="28" t="n">
        <v>-25</v>
      </c>
      <c r="I957" s="28" t="n">
        <v>-25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1" t="n">
        <v>45799.507858796</v>
      </c>
      <c r="B958" s="22" t="s">
        <v>891</v>
      </c>
      <c r="C958" s="22" t="s">
        <v>1011</v>
      </c>
      <c r="D958" s="22" t="s">
        <v>891</v>
      </c>
      <c r="E958" s="22" t="s">
        <v>891</v>
      </c>
      <c r="F958" s="22" t="s">
        <v>20</v>
      </c>
      <c r="G958" s="23" t="n">
        <v>1</v>
      </c>
      <c r="H958" s="24" t="n">
        <v>1</v>
      </c>
      <c r="I958" s="24" t="n">
        <v>89.94</v>
      </c>
      <c r="J958" s="24" t="n">
        <v>0</v>
      </c>
      <c r="K958" s="24" t="n">
        <v>0</v>
      </c>
      <c r="L958" s="24" t="n">
        <v>0</v>
      </c>
      <c r="M958" s="6" t="s">
        <f>=I958+J958+K958+L958</f>
      </c>
      <c r="N958" s="24"/>
      <c r="O958" s="22"/>
    </row>
    <row collapsed="false" customFormat="false" customHeight="false" hidden="false" ht="12.1" outlineLevel="0" r="959">
      <c r="A959" s="21" t="n">
        <v>45799.572280093</v>
      </c>
      <c r="B959" s="22" t="s">
        <v>891</v>
      </c>
      <c r="C959" s="22" t="s">
        <v>932</v>
      </c>
      <c r="D959" s="22" t="s">
        <v>891</v>
      </c>
      <c r="E959" s="22" t="s">
        <v>891</v>
      </c>
      <c r="F959" s="22" t="s">
        <v>20</v>
      </c>
      <c r="G959" s="23" t="n">
        <v>1</v>
      </c>
      <c r="H959" s="24" t="n">
        <v>1</v>
      </c>
      <c r="I959" s="24" t="n">
        <v>361.5</v>
      </c>
      <c r="J959" s="24" t="n">
        <v>0</v>
      </c>
      <c r="K959" s="24" t="n">
        <v>0</v>
      </c>
      <c r="L959" s="24" t="n">
        <v>0</v>
      </c>
      <c r="M959" s="6" t="s">
        <f>=I959+J959+K959+L959</f>
      </c>
      <c r="N959" s="24"/>
      <c r="O959" s="22"/>
    </row>
    <row collapsed="false" customFormat="false" customHeight="false" hidden="false" ht="12.1" outlineLevel="0" r="960">
      <c r="A960" s="21" t="n">
        <v>45800.468784722</v>
      </c>
      <c r="B960" s="22" t="s">
        <v>891</v>
      </c>
      <c r="C960" s="22" t="s">
        <v>970</v>
      </c>
      <c r="D960" s="22" t="s">
        <v>891</v>
      </c>
      <c r="E960" s="22" t="s">
        <v>891</v>
      </c>
      <c r="F960" s="22" t="s">
        <v>20</v>
      </c>
      <c r="G960" s="23" t="n">
        <v>1</v>
      </c>
      <c r="H960" s="24" t="n">
        <v>1</v>
      </c>
      <c r="I960" s="24" t="n">
        <v>6.5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2"/>
    </row>
    <row collapsed="false" customFormat="false" customHeight="false" hidden="false" ht="12.1" outlineLevel="0" r="961">
      <c r="A961" s="21" t="n">
        <v>45800.47349537</v>
      </c>
      <c r="B961" s="22" t="s">
        <v>891</v>
      </c>
      <c r="C961" s="22" t="s">
        <v>1150</v>
      </c>
      <c r="D961" s="22" t="s">
        <v>891</v>
      </c>
      <c r="E961" s="22" t="s">
        <v>891</v>
      </c>
      <c r="F961" s="22" t="s">
        <v>20</v>
      </c>
      <c r="G961" s="23" t="n">
        <v>1</v>
      </c>
      <c r="H961" s="24" t="n">
        <v>1</v>
      </c>
      <c r="I961" s="24" t="n">
        <v>20.96</v>
      </c>
      <c r="J961" s="24" t="n">
        <v>0</v>
      </c>
      <c r="K961" s="24" t="n">
        <v>0</v>
      </c>
      <c r="L961" s="24" t="n">
        <v>0</v>
      </c>
      <c r="M961" s="6" t="s">
        <f>=I961+J961+K961+L961</f>
      </c>
      <c r="N961" s="24"/>
      <c r="O961" s="22"/>
    </row>
    <row collapsed="false" customFormat="false" customHeight="false" hidden="false" ht="12.1" outlineLevel="0" r="962">
      <c r="A962" s="21" t="n">
        <v>45803.457326389</v>
      </c>
      <c r="B962" s="22" t="s">
        <v>891</v>
      </c>
      <c r="C962" s="22" t="s">
        <v>1079</v>
      </c>
      <c r="D962" s="22" t="s">
        <v>891</v>
      </c>
      <c r="E962" s="22" t="s">
        <v>891</v>
      </c>
      <c r="F962" s="22" t="s">
        <v>20</v>
      </c>
      <c r="G962" s="23" t="n">
        <v>1</v>
      </c>
      <c r="H962" s="24" t="n">
        <v>1</v>
      </c>
      <c r="I962" s="24" t="n">
        <v>11.18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45804.516631944</v>
      </c>
      <c r="B963" s="22" t="s">
        <v>891</v>
      </c>
      <c r="C963" s="22" t="s">
        <v>1063</v>
      </c>
      <c r="D963" s="22" t="s">
        <v>891</v>
      </c>
      <c r="E963" s="22" t="s">
        <v>891</v>
      </c>
      <c r="F963" s="22" t="s">
        <v>20</v>
      </c>
      <c r="G963" s="23" t="n">
        <v>1</v>
      </c>
      <c r="H963" s="24" t="n">
        <v>1</v>
      </c>
      <c r="I963" s="24" t="n">
        <v>36.32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1" t="n">
        <v>45805.476296296</v>
      </c>
      <c r="B964" s="22" t="s">
        <v>891</v>
      </c>
      <c r="C964" s="22" t="s">
        <v>1089</v>
      </c>
      <c r="D964" s="22" t="s">
        <v>891</v>
      </c>
      <c r="E964" s="22" t="s">
        <v>891</v>
      </c>
      <c r="F964" s="22" t="s">
        <v>20</v>
      </c>
      <c r="G964" s="23" t="n">
        <v>1</v>
      </c>
      <c r="H964" s="24" t="n">
        <v>1</v>
      </c>
      <c r="I964" s="24" t="n">
        <v>74.79</v>
      </c>
      <c r="J964" s="24" t="n">
        <v>0</v>
      </c>
      <c r="K964" s="24" t="n">
        <v>0</v>
      </c>
      <c r="L964" s="24" t="n">
        <v>0</v>
      </c>
      <c r="M964" s="6" t="s">
        <f>=I964+J964+K964+L964</f>
      </c>
      <c r="N964" s="24"/>
      <c r="O964" s="22"/>
    </row>
    <row collapsed="false" customFormat="false" customHeight="false" hidden="false" ht="12.1" outlineLevel="0" r="965">
      <c r="A965" s="21" t="n">
        <v>45805.780416667</v>
      </c>
      <c r="B965" s="22" t="s">
        <v>891</v>
      </c>
      <c r="C965" s="22" t="s">
        <v>1044</v>
      </c>
      <c r="D965" s="22" t="s">
        <v>891</v>
      </c>
      <c r="E965" s="22" t="s">
        <v>891</v>
      </c>
      <c r="F965" s="22" t="s">
        <v>20</v>
      </c>
      <c r="G965" s="23" t="n">
        <v>1</v>
      </c>
      <c r="H965" s="24" t="n">
        <v>1</v>
      </c>
      <c r="I965" s="24" t="n">
        <v>473.7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1" t="n">
        <v>45805.903796296</v>
      </c>
      <c r="B966" s="22" t="s">
        <v>891</v>
      </c>
      <c r="C966" s="22" t="s">
        <v>1090</v>
      </c>
      <c r="D966" s="22" t="s">
        <v>891</v>
      </c>
      <c r="E966" s="22" t="s">
        <v>891</v>
      </c>
      <c r="F966" s="22" t="s">
        <v>20</v>
      </c>
      <c r="G966" s="23" t="n">
        <v>1</v>
      </c>
      <c r="H966" s="24" t="n">
        <v>1</v>
      </c>
      <c r="I966" s="24" t="n">
        <v>366.48</v>
      </c>
      <c r="J966" s="24" t="n">
        <v>0</v>
      </c>
      <c r="K966" s="24" t="n">
        <v>0</v>
      </c>
      <c r="L966" s="24" t="n">
        <v>0</v>
      </c>
      <c r="M966" s="6" t="s">
        <f>=I966+J966+K966+L966</f>
      </c>
      <c r="N966" s="24"/>
      <c r="O966" s="22"/>
    </row>
    <row collapsed="false" customFormat="false" customHeight="false" hidden="false" ht="12.1" outlineLevel="0" r="967">
      <c r="A967" s="21" t="n">
        <v>45807.402939815</v>
      </c>
      <c r="B967" s="22" t="s">
        <v>891</v>
      </c>
      <c r="C967" s="22" t="s">
        <v>1151</v>
      </c>
      <c r="D967" s="22" t="s">
        <v>891</v>
      </c>
      <c r="E967" s="22" t="s">
        <v>891</v>
      </c>
      <c r="F967" s="22" t="s">
        <v>20</v>
      </c>
      <c r="G967" s="23" t="n">
        <v>1</v>
      </c>
      <c r="H967" s="24" t="n">
        <v>1</v>
      </c>
      <c r="I967" s="24" t="n">
        <v>19.48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4"/>
      <c r="O967" s="22"/>
    </row>
    <row collapsed="false" customFormat="false" customHeight="false" hidden="false" ht="12.1" outlineLevel="0" r="968">
      <c r="A968" s="21" t="n">
        <v>45807.417175926</v>
      </c>
      <c r="B968" s="22" t="s">
        <v>891</v>
      </c>
      <c r="C968" s="22" t="s">
        <v>1035</v>
      </c>
      <c r="D968" s="22" t="s">
        <v>891</v>
      </c>
      <c r="E968" s="22" t="s">
        <v>891</v>
      </c>
      <c r="F968" s="22" t="s">
        <v>20</v>
      </c>
      <c r="G968" s="23" t="n">
        <v>1</v>
      </c>
      <c r="H968" s="24" t="n">
        <v>1</v>
      </c>
      <c r="I968" s="24" t="n">
        <v>19.2</v>
      </c>
      <c r="J968" s="24" t="n">
        <v>0</v>
      </c>
      <c r="K968" s="24" t="n">
        <v>0</v>
      </c>
      <c r="L968" s="24" t="n">
        <v>0</v>
      </c>
      <c r="M968" s="6" t="s">
        <f>=I968+J968+K968+L968</f>
      </c>
      <c r="N968" s="24"/>
      <c r="O968" s="22"/>
    </row>
    <row collapsed="false" customFormat="false" customHeight="false" hidden="false" ht="12.1" outlineLevel="0" r="969">
      <c r="A969" s="21" t="n">
        <v>45810.462835648</v>
      </c>
      <c r="B969" s="22" t="s">
        <v>891</v>
      </c>
      <c r="C969" s="22" t="s">
        <v>933</v>
      </c>
      <c r="D969" s="22" t="s">
        <v>891</v>
      </c>
      <c r="E969" s="22" t="s">
        <v>891</v>
      </c>
      <c r="F969" s="22" t="s">
        <v>20</v>
      </c>
      <c r="G969" s="23" t="n">
        <v>1</v>
      </c>
      <c r="H969" s="24" t="n">
        <v>1</v>
      </c>
      <c r="I969" s="24" t="n">
        <v>24.81</v>
      </c>
      <c r="J969" s="24" t="n">
        <v>0</v>
      </c>
      <c r="K969" s="24" t="n">
        <v>0</v>
      </c>
      <c r="L969" s="24" t="n">
        <v>0</v>
      </c>
      <c r="M969" s="6" t="s">
        <f>=I969+J969+K969+L969</f>
      </c>
      <c r="N969" s="24"/>
      <c r="O969" s="22"/>
    </row>
    <row collapsed="false" customFormat="false" customHeight="false" hidden="false" ht="12.1" outlineLevel="0" r="970">
      <c r="A970" s="29" t="n">
        <v>45810.999988426</v>
      </c>
      <c r="B970" s="30" t="s">
        <v>910</v>
      </c>
      <c r="C970" s="30" t="s">
        <v>910</v>
      </c>
      <c r="D970" s="30" t="s">
        <v>878</v>
      </c>
      <c r="E970" s="30" t="s">
        <v>912</v>
      </c>
      <c r="F970" s="30" t="s">
        <v>42</v>
      </c>
      <c r="G970" s="31" t="n">
        <v>1</v>
      </c>
      <c r="H970" s="32" t="n">
        <v>1</v>
      </c>
      <c r="I970" s="2"/>
      <c r="J970" s="2"/>
      <c r="K970" s="2"/>
      <c r="L970" s="2"/>
      <c r="M970" s="2"/>
      <c r="N970" s="6" t="n">
        <v>1</v>
      </c>
      <c r="O970" s="2"/>
    </row>
    <row collapsed="false" customFormat="false" customHeight="false" hidden="false" ht="12.1" outlineLevel="0"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 t="s">
        <v>1152</v>
      </c>
      <c r="M971" s="5" t="s">
        <f>=SUM(M2:M970)</f>
      </c>
      <c r="N971" s="5" t="s">
        <f>=SUM(N2:N970)</f>
      </c>
      <c r="O971" s="4"/>
    </row>
  </sheetData>
  <autoFilter ref="A1:O9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328</v>
      </c>
      <c r="B1" s="34" t="s">
        <v>1153</v>
      </c>
      <c r="C1" s="34" t="s">
        <v>0</v>
      </c>
      <c r="D1" s="34" t="s">
        <v>2</v>
      </c>
      <c r="E1" s="34" t="s">
        <v>1154</v>
      </c>
      <c r="F1" s="34" t="s">
        <v>3</v>
      </c>
      <c r="G1" s="34" t="s">
        <v>1155</v>
      </c>
      <c r="H1" s="34" t="s">
        <v>1156</v>
      </c>
      <c r="I1" s="34" t="s">
        <v>1157</v>
      </c>
      <c r="J1" s="34" t="s">
        <v>1158</v>
      </c>
      <c r="K1" s="34" t="s">
        <v>1159</v>
      </c>
      <c r="L1" s="34" t="s">
        <v>1160</v>
      </c>
      <c r="M1" s="34" t="s">
        <v>1161</v>
      </c>
      <c r="N1" s="34" t="s">
        <v>1162</v>
      </c>
    </row>
    <row collapsed="false" customFormat="false" customHeight="false" hidden="false" ht="12.1" outlineLevel="0" r="2">
      <c r="A2" s="33" t="n">
        <v>44843</v>
      </c>
      <c r="B2" s="2" t="s">
        <v>1163</v>
      </c>
      <c r="C2" s="2" t="s">
        <v>84</v>
      </c>
      <c r="D2" s="2" t="s">
        <v>85</v>
      </c>
      <c r="E2" s="7" t="n">
        <v>1</v>
      </c>
      <c r="F2" s="2" t="s">
        <v>20</v>
      </c>
      <c r="G2" s="6" t="n">
        <v>45</v>
      </c>
      <c r="H2" s="6" t="n">
        <v>906.4</v>
      </c>
      <c r="I2" s="6" t="n">
        <v>1031.08</v>
      </c>
      <c r="J2" s="6" t="n">
        <v>6</v>
      </c>
      <c r="K2" s="6" t="n">
        <v>45</v>
      </c>
      <c r="L2" s="6" t="n">
        <v>39</v>
      </c>
      <c r="M2" s="6" t="n">
        <v>3.78</v>
      </c>
      <c r="N2" s="6" t="n">
        <v>4.3</v>
      </c>
    </row>
    <row collapsed="false" customFormat="false" customHeight="false" hidden="false" ht="12.1" outlineLevel="0" r="3">
      <c r="A3" s="33" t="n">
        <v>44845</v>
      </c>
      <c r="B3" s="2" t="s">
        <v>1163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32.71</v>
      </c>
      <c r="H3" s="6" t="n">
        <v>353</v>
      </c>
      <c r="I3" s="6" t="n">
        <v>394.48</v>
      </c>
      <c r="J3" s="6" t="n">
        <v>4</v>
      </c>
      <c r="K3" s="6" t="n">
        <v>32.71</v>
      </c>
      <c r="L3" s="6" t="n">
        <v>28.71</v>
      </c>
      <c r="M3" s="6" t="n">
        <v>7.28</v>
      </c>
      <c r="N3" s="6" t="n">
        <v>8.13</v>
      </c>
    </row>
    <row collapsed="false" customFormat="false" customHeight="false" hidden="false" ht="12.1" outlineLevel="0" r="4">
      <c r="A4" s="33" t="n">
        <v>44845</v>
      </c>
      <c r="B4" s="2" t="s">
        <v>1163</v>
      </c>
      <c r="C4" s="2" t="s">
        <v>31</v>
      </c>
      <c r="D4" s="2" t="s">
        <v>32</v>
      </c>
      <c r="E4" s="7" t="n">
        <v>10</v>
      </c>
      <c r="F4" s="2" t="s">
        <v>20</v>
      </c>
      <c r="G4" s="6" t="n">
        <v>51.03</v>
      </c>
      <c r="H4" s="6" t="n">
        <v>162.89</v>
      </c>
      <c r="I4" s="6" t="n">
        <v>197.65</v>
      </c>
      <c r="J4" s="6" t="n">
        <v>66</v>
      </c>
      <c r="K4" s="6" t="n">
        <v>510.3</v>
      </c>
      <c r="L4" s="6" t="n">
        <v>444.3</v>
      </c>
      <c r="M4" s="6" t="n">
        <v>22.48</v>
      </c>
      <c r="N4" s="6" t="n">
        <v>27.28</v>
      </c>
    </row>
    <row collapsed="false" customFormat="false" customHeight="false" hidden="false" ht="12.1" outlineLevel="0" r="5">
      <c r="A5" s="33" t="n">
        <v>44936</v>
      </c>
      <c r="B5" s="2" t="s">
        <v>1163</v>
      </c>
      <c r="C5" s="2" t="s">
        <v>34</v>
      </c>
      <c r="D5" s="2" t="s">
        <v>35</v>
      </c>
      <c r="E5" s="7" t="n">
        <v>1</v>
      </c>
      <c r="F5" s="2" t="s">
        <v>20</v>
      </c>
      <c r="G5" s="6" t="n">
        <v>6.86</v>
      </c>
      <c r="H5" s="6" t="n">
        <v>345.7</v>
      </c>
      <c r="I5" s="6" t="n">
        <v>394.48</v>
      </c>
      <c r="J5" s="6" t="n">
        <v>1</v>
      </c>
      <c r="K5" s="6" t="n">
        <v>6.86</v>
      </c>
      <c r="L5" s="6" t="n">
        <v>5.86</v>
      </c>
      <c r="M5" s="6" t="n">
        <v>1.49</v>
      </c>
      <c r="N5" s="6" t="n">
        <v>1.7</v>
      </c>
    </row>
    <row collapsed="false" customFormat="false" customHeight="false" hidden="false" ht="12.1" outlineLevel="0" r="6">
      <c r="A6" s="33" t="n">
        <v>45049</v>
      </c>
      <c r="B6" s="2" t="s">
        <v>1163</v>
      </c>
      <c r="C6" s="2" t="s">
        <v>84</v>
      </c>
      <c r="D6" s="2" t="s">
        <v>85</v>
      </c>
      <c r="E6" s="7" t="n">
        <v>1</v>
      </c>
      <c r="F6" s="2" t="s">
        <v>20</v>
      </c>
      <c r="G6" s="6" t="n">
        <v>60.58</v>
      </c>
      <c r="H6" s="6" t="n">
        <v>1223.8</v>
      </c>
      <c r="I6" s="6" t="n">
        <v>1031.08</v>
      </c>
      <c r="J6" s="6" t="n">
        <v>8</v>
      </c>
      <c r="K6" s="6" t="n">
        <v>60.58</v>
      </c>
      <c r="L6" s="6" t="n">
        <v>52.58</v>
      </c>
      <c r="M6" s="6" t="n">
        <v>5.1</v>
      </c>
      <c r="N6" s="6" t="n">
        <v>4.3</v>
      </c>
    </row>
    <row collapsed="false" customFormat="false" customHeight="false" hidden="false" ht="12.1" outlineLevel="0" r="7">
      <c r="A7" s="33" t="n">
        <v>45057</v>
      </c>
      <c r="B7" s="2" t="s">
        <v>1163</v>
      </c>
      <c r="C7" s="2" t="s">
        <v>28</v>
      </c>
      <c r="D7" s="2" t="s">
        <v>29</v>
      </c>
      <c r="E7" s="7" t="n">
        <v>20</v>
      </c>
      <c r="F7" s="2" t="s">
        <v>20</v>
      </c>
      <c r="G7" s="6" t="n">
        <v>25</v>
      </c>
      <c r="H7" s="6" t="n">
        <v>226.55</v>
      </c>
      <c r="I7" s="6" t="n">
        <v>154.92</v>
      </c>
      <c r="J7" s="6" t="n">
        <v>65</v>
      </c>
      <c r="K7" s="6" t="n">
        <v>500</v>
      </c>
      <c r="L7" s="6" t="n">
        <v>435</v>
      </c>
      <c r="M7" s="6" t="n">
        <v>14.04</v>
      </c>
      <c r="N7" s="6" t="n">
        <v>9.6</v>
      </c>
    </row>
    <row collapsed="false" customFormat="false" customHeight="false" hidden="false" ht="12.1" outlineLevel="0" r="8">
      <c r="A8" s="33" t="n">
        <v>45057</v>
      </c>
      <c r="B8" s="2" t="s">
        <v>1163</v>
      </c>
      <c r="C8" s="2" t="s">
        <v>17</v>
      </c>
      <c r="D8" s="2" t="s">
        <v>19</v>
      </c>
      <c r="E8" s="7" t="n">
        <v>30</v>
      </c>
      <c r="F8" s="2" t="s">
        <v>20</v>
      </c>
      <c r="G8" s="6" t="n">
        <v>25</v>
      </c>
      <c r="H8" s="6" t="n">
        <v>229.32</v>
      </c>
      <c r="I8" s="6" t="n">
        <v>153.61</v>
      </c>
      <c r="J8" s="6" t="n">
        <v>98</v>
      </c>
      <c r="K8" s="6" t="n">
        <v>750</v>
      </c>
      <c r="L8" s="6" t="n">
        <v>652</v>
      </c>
      <c r="M8" s="6" t="n">
        <v>14.15</v>
      </c>
      <c r="N8" s="6" t="n">
        <v>9.48</v>
      </c>
    </row>
    <row collapsed="false" customFormat="false" customHeight="false" hidden="false" ht="12.1" outlineLevel="0" r="9">
      <c r="A9" s="33" t="n">
        <v>45076</v>
      </c>
      <c r="B9" s="2" t="s">
        <v>1163</v>
      </c>
      <c r="C9" s="2" t="s">
        <v>46</v>
      </c>
      <c r="D9" s="2" t="s">
        <v>47</v>
      </c>
      <c r="E9" s="7" t="n">
        <v>400</v>
      </c>
      <c r="F9" s="2" t="s">
        <v>20</v>
      </c>
      <c r="G9" s="6" t="n">
        <v>0.2837</v>
      </c>
      <c r="H9" s="6" t="n">
        <v>4.1225</v>
      </c>
      <c r="I9" s="6" t="n">
        <v>3.61</v>
      </c>
      <c r="J9" s="6" t="n">
        <v>15</v>
      </c>
      <c r="K9" s="6" t="n">
        <v>113.4621</v>
      </c>
      <c r="L9" s="6" t="n">
        <v>98.46</v>
      </c>
      <c r="M9" s="6" t="n">
        <v>6.82</v>
      </c>
      <c r="N9" s="6" t="n">
        <v>5.97</v>
      </c>
    </row>
    <row collapsed="false" customFormat="false" customHeight="false" hidden="false" ht="12.1" outlineLevel="0" r="10">
      <c r="A10" s="33" t="n">
        <v>45093</v>
      </c>
      <c r="B10" s="2" t="s">
        <v>1163</v>
      </c>
      <c r="C10" s="2" t="s">
        <v>40</v>
      </c>
      <c r="D10" s="2" t="s">
        <v>41</v>
      </c>
      <c r="E10" s="7" t="n">
        <v>10</v>
      </c>
      <c r="F10" s="2" t="s">
        <v>20</v>
      </c>
      <c r="G10" s="6" t="n">
        <v>4.84</v>
      </c>
      <c r="H10" s="6" t="n">
        <v>124.06</v>
      </c>
      <c r="I10" s="6" t="n">
        <v>116.15</v>
      </c>
      <c r="J10" s="6" t="n">
        <v>6</v>
      </c>
      <c r="K10" s="6" t="n">
        <v>48.4</v>
      </c>
      <c r="L10" s="6" t="n">
        <v>42.4</v>
      </c>
      <c r="M10" s="6" t="n">
        <v>3.65</v>
      </c>
      <c r="N10" s="6" t="n">
        <v>3.42</v>
      </c>
    </row>
    <row collapsed="false" customFormat="false" customHeight="false" hidden="false" ht="12.1" outlineLevel="0" r="11">
      <c r="A11" s="33" t="n">
        <v>45118</v>
      </c>
      <c r="B11" s="2" t="s">
        <v>1163</v>
      </c>
      <c r="C11" s="2" t="s">
        <v>88</v>
      </c>
      <c r="D11" s="2" t="s">
        <v>89</v>
      </c>
      <c r="E11" s="7" t="n">
        <v>1000</v>
      </c>
      <c r="F11" s="2" t="s">
        <v>20</v>
      </c>
      <c r="G11" s="6" t="n">
        <v>0.0503</v>
      </c>
      <c r="H11" s="6" t="n">
        <v>0.8293</v>
      </c>
      <c r="I11" s="6" t="n">
        <v>0.75</v>
      </c>
      <c r="J11" s="6" t="n">
        <v>7</v>
      </c>
      <c r="K11" s="6" t="n">
        <v>50.2548</v>
      </c>
      <c r="L11" s="6" t="n">
        <v>43.25</v>
      </c>
      <c r="M11" s="6" t="n">
        <v>5.8</v>
      </c>
      <c r="N11" s="6" t="n">
        <v>5.22</v>
      </c>
    </row>
    <row collapsed="false" customFormat="false" customHeight="false" hidden="false" ht="12.1" outlineLevel="0" r="12">
      <c r="A12" s="33" t="n">
        <v>45118</v>
      </c>
      <c r="B12" s="2" t="s">
        <v>1163</v>
      </c>
      <c r="C12" s="2" t="s">
        <v>34</v>
      </c>
      <c r="D12" s="2" t="s">
        <v>35</v>
      </c>
      <c r="E12" s="7" t="n">
        <v>1</v>
      </c>
      <c r="F12" s="2" t="s">
        <v>20</v>
      </c>
      <c r="G12" s="6" t="n">
        <v>27.71</v>
      </c>
      <c r="H12" s="6" t="n">
        <v>490.7</v>
      </c>
      <c r="I12" s="6" t="n">
        <v>394.48</v>
      </c>
      <c r="J12" s="6" t="n">
        <v>4</v>
      </c>
      <c r="K12" s="6" t="n">
        <v>27.71</v>
      </c>
      <c r="L12" s="6" t="n">
        <v>23.71</v>
      </c>
      <c r="M12" s="6" t="n">
        <v>6.01</v>
      </c>
      <c r="N12" s="6" t="n">
        <v>4.83</v>
      </c>
    </row>
    <row collapsed="false" customFormat="false" customHeight="false" hidden="false" ht="12.1" outlineLevel="0" r="13">
      <c r="A13" s="33" t="n">
        <v>45126</v>
      </c>
      <c r="B13" s="2" t="s">
        <v>1163</v>
      </c>
      <c r="C13" s="2" t="s">
        <v>60</v>
      </c>
      <c r="D13" s="2" t="s">
        <v>61</v>
      </c>
      <c r="E13" s="7" t="n">
        <v>100</v>
      </c>
      <c r="F13" s="2" t="s">
        <v>20</v>
      </c>
      <c r="G13" s="6" t="n">
        <v>0.41</v>
      </c>
      <c r="H13" s="6" t="n">
        <v>17.648</v>
      </c>
      <c r="I13" s="6" t="n">
        <v>12.08</v>
      </c>
      <c r="J13" s="6" t="n">
        <v>5</v>
      </c>
      <c r="K13" s="6" t="n">
        <v>41</v>
      </c>
      <c r="L13" s="6" t="n">
        <v>36</v>
      </c>
      <c r="M13" s="6" t="n">
        <v>2.98</v>
      </c>
      <c r="N13" s="6" t="n">
        <v>2.04</v>
      </c>
    </row>
    <row collapsed="false" customFormat="false" customHeight="false" hidden="false" ht="12.1" outlineLevel="0" r="14">
      <c r="A14" s="33" t="n">
        <v>45127</v>
      </c>
      <c r="B14" s="2" t="s">
        <v>1163</v>
      </c>
      <c r="C14" s="2" t="s">
        <v>70</v>
      </c>
      <c r="D14" s="2" t="s">
        <v>71</v>
      </c>
      <c r="E14" s="7" t="n">
        <v>100</v>
      </c>
      <c r="F14" s="2" t="s">
        <v>20</v>
      </c>
      <c r="G14" s="6" t="n">
        <v>0.8</v>
      </c>
      <c r="H14" s="6" t="n">
        <v>28.355</v>
      </c>
      <c r="I14" s="6" t="n">
        <v>22.33</v>
      </c>
      <c r="J14" s="6" t="n">
        <v>10</v>
      </c>
      <c r="K14" s="6" t="n">
        <v>80</v>
      </c>
      <c r="L14" s="6" t="n">
        <v>70</v>
      </c>
      <c r="M14" s="6" t="n">
        <v>3.14</v>
      </c>
      <c r="N14" s="6" t="n">
        <v>2.47</v>
      </c>
    </row>
    <row collapsed="false" customFormat="false" customHeight="false" hidden="false" ht="12.1" outlineLevel="0" r="15">
      <c r="A15" s="33" t="n">
        <v>45127</v>
      </c>
      <c r="B15" s="2" t="s">
        <v>1163</v>
      </c>
      <c r="C15" s="2" t="s">
        <v>43</v>
      </c>
      <c r="D15" s="2" t="s">
        <v>44</v>
      </c>
      <c r="E15" s="7" t="n">
        <v>100</v>
      </c>
      <c r="F15" s="2" t="s">
        <v>20</v>
      </c>
      <c r="G15" s="6" t="n">
        <v>0.8</v>
      </c>
      <c r="H15" s="6" t="n">
        <v>42.025</v>
      </c>
      <c r="I15" s="6" t="n">
        <v>33.42</v>
      </c>
      <c r="J15" s="6" t="n">
        <v>10</v>
      </c>
      <c r="K15" s="6" t="n">
        <v>80</v>
      </c>
      <c r="L15" s="6" t="n">
        <v>70</v>
      </c>
      <c r="M15" s="6" t="n">
        <v>2.09</v>
      </c>
      <c r="N15" s="6" t="n">
        <v>1.67</v>
      </c>
    </row>
    <row collapsed="false" customFormat="false" customHeight="false" hidden="false" ht="12.1" outlineLevel="0" r="16">
      <c r="A16" s="33" t="n">
        <v>45209</v>
      </c>
      <c r="B16" s="2" t="s">
        <v>1163</v>
      </c>
      <c r="C16" s="2" t="s">
        <v>84</v>
      </c>
      <c r="D16" s="2" t="s">
        <v>85</v>
      </c>
      <c r="E16" s="7" t="n">
        <v>1</v>
      </c>
      <c r="F16" s="2" t="s">
        <v>20</v>
      </c>
      <c r="G16" s="6" t="n">
        <v>34.5</v>
      </c>
      <c r="H16" s="6" t="n">
        <v>1717.4</v>
      </c>
      <c r="I16" s="6" t="n">
        <v>1031.08</v>
      </c>
      <c r="J16" s="6" t="n">
        <v>4</v>
      </c>
      <c r="K16" s="6" t="n">
        <v>34.5</v>
      </c>
      <c r="L16" s="6" t="n">
        <v>30.5</v>
      </c>
      <c r="M16" s="6" t="n">
        <v>2.96</v>
      </c>
      <c r="N16" s="6" t="n">
        <v>1.78</v>
      </c>
    </row>
    <row collapsed="false" customFormat="false" customHeight="false" hidden="false" ht="12.1" outlineLevel="0" r="17">
      <c r="A17" s="33" t="n">
        <v>45210</v>
      </c>
      <c r="B17" s="2" t="s">
        <v>1163</v>
      </c>
      <c r="C17" s="2" t="s">
        <v>34</v>
      </c>
      <c r="D17" s="2" t="s">
        <v>35</v>
      </c>
      <c r="E17" s="7" t="n">
        <v>1</v>
      </c>
      <c r="F17" s="2" t="s">
        <v>20</v>
      </c>
      <c r="G17" s="6" t="n">
        <v>27.54</v>
      </c>
      <c r="H17" s="6" t="n">
        <v>618.8</v>
      </c>
      <c r="I17" s="6" t="n">
        <v>394.48</v>
      </c>
      <c r="J17" s="6" t="n">
        <v>4</v>
      </c>
      <c r="K17" s="6" t="n">
        <v>27.54</v>
      </c>
      <c r="L17" s="6" t="n">
        <v>23.54</v>
      </c>
      <c r="M17" s="6" t="n">
        <v>5.97</v>
      </c>
      <c r="N17" s="6" t="n">
        <v>3.8</v>
      </c>
    </row>
    <row collapsed="false" customFormat="false" customHeight="false" hidden="false" ht="12.1" outlineLevel="0" r="18">
      <c r="A18" s="33" t="n">
        <v>45261</v>
      </c>
      <c r="B18" s="2" t="s">
        <v>1163</v>
      </c>
      <c r="C18" s="2" t="s">
        <v>63</v>
      </c>
      <c r="D18" s="2" t="s">
        <v>64</v>
      </c>
      <c r="E18" s="7" t="n">
        <v>20</v>
      </c>
      <c r="F18" s="2" t="s">
        <v>20</v>
      </c>
      <c r="G18" s="6" t="n">
        <v>5.4465</v>
      </c>
      <c r="H18" s="6" t="n">
        <v>74.82</v>
      </c>
      <c r="I18" s="6" t="n">
        <v>68.31</v>
      </c>
      <c r="J18" s="6" t="n">
        <v>14</v>
      </c>
      <c r="K18" s="6" t="n">
        <v>108.93</v>
      </c>
      <c r="L18" s="6" t="n">
        <v>94.93</v>
      </c>
      <c r="M18" s="6" t="n">
        <v>6.95</v>
      </c>
      <c r="N18" s="6" t="n">
        <v>6.34</v>
      </c>
    </row>
    <row collapsed="false" customFormat="false" customHeight="false" hidden="false" ht="12.1" outlineLevel="0" r="19">
      <c r="A19" s="33" t="n">
        <v>45300</v>
      </c>
      <c r="B19" s="2" t="s">
        <v>1163</v>
      </c>
      <c r="C19" s="2" t="s">
        <v>34</v>
      </c>
      <c r="D19" s="2" t="s">
        <v>35</v>
      </c>
      <c r="E19" s="7" t="n">
        <v>1</v>
      </c>
      <c r="F19" s="2" t="s">
        <v>20</v>
      </c>
      <c r="G19" s="6" t="n">
        <v>35.17</v>
      </c>
      <c r="H19" s="6" t="n">
        <v>686.7</v>
      </c>
      <c r="I19" s="6" t="n">
        <v>394.48</v>
      </c>
      <c r="J19" s="6" t="n">
        <v>5</v>
      </c>
      <c r="K19" s="6" t="n">
        <v>35.17</v>
      </c>
      <c r="L19" s="6" t="n">
        <v>30.17</v>
      </c>
      <c r="M19" s="6" t="n">
        <v>7.65</v>
      </c>
      <c r="N19" s="6" t="n">
        <v>4.39</v>
      </c>
    </row>
    <row collapsed="false" customFormat="false" customHeight="false" hidden="false" ht="12.1" outlineLevel="0" r="20">
      <c r="A20" s="33" t="n">
        <v>45377</v>
      </c>
      <c r="B20" s="2" t="s">
        <v>1163</v>
      </c>
      <c r="C20" s="2" t="s">
        <v>84</v>
      </c>
      <c r="D20" s="2" t="s">
        <v>85</v>
      </c>
      <c r="E20" s="7" t="n">
        <v>1</v>
      </c>
      <c r="F20" s="2" t="s">
        <v>20</v>
      </c>
      <c r="G20" s="6" t="n">
        <v>44.09</v>
      </c>
      <c r="H20" s="6" t="n">
        <v>1316.8</v>
      </c>
      <c r="I20" s="6" t="n">
        <v>1031.08</v>
      </c>
      <c r="J20" s="6" t="n">
        <v>6</v>
      </c>
      <c r="K20" s="6" t="n">
        <v>44.09</v>
      </c>
      <c r="L20" s="6" t="n">
        <v>38.09</v>
      </c>
      <c r="M20" s="6" t="n">
        <v>3.69</v>
      </c>
      <c r="N20" s="6" t="n">
        <v>2.89</v>
      </c>
    </row>
    <row collapsed="false" customFormat="false" customHeight="false" hidden="false" ht="12.1" outlineLevel="0" r="21">
      <c r="A21" s="33" t="n">
        <v>45446</v>
      </c>
      <c r="B21" s="2" t="s">
        <v>1163</v>
      </c>
      <c r="C21" s="2" t="s">
        <v>46</v>
      </c>
      <c r="D21" s="2" t="s">
        <v>47</v>
      </c>
      <c r="E21" s="7" t="n">
        <v>1000</v>
      </c>
      <c r="F21" s="2" t="s">
        <v>20</v>
      </c>
      <c r="G21" s="6" t="n">
        <v>0.326</v>
      </c>
      <c r="H21" s="6" t="n">
        <v>3.794</v>
      </c>
      <c r="I21" s="6" t="n">
        <v>4</v>
      </c>
      <c r="J21" s="6" t="n">
        <v>42</v>
      </c>
      <c r="K21" s="6" t="n">
        <v>325.9993</v>
      </c>
      <c r="L21" s="6" t="n">
        <v>284</v>
      </c>
      <c r="M21" s="6" t="n">
        <v>7.1</v>
      </c>
      <c r="N21" s="6" t="n">
        <v>7.49</v>
      </c>
    </row>
    <row collapsed="false" customFormat="false" customHeight="false" hidden="false" ht="12.1" outlineLevel="0" r="22">
      <c r="A22" s="33" t="n">
        <v>45453</v>
      </c>
      <c r="B22" s="2" t="s">
        <v>1163</v>
      </c>
      <c r="C22" s="2" t="s">
        <v>86</v>
      </c>
      <c r="D22" s="2" t="s">
        <v>87</v>
      </c>
      <c r="E22" s="7" t="n">
        <v>30</v>
      </c>
      <c r="F22" s="2" t="s">
        <v>20</v>
      </c>
      <c r="G22" s="6" t="n">
        <v>2.752</v>
      </c>
      <c r="H22" s="6" t="n">
        <v>55.06</v>
      </c>
      <c r="I22" s="6" t="n">
        <v>33.98</v>
      </c>
      <c r="J22" s="6" t="n">
        <v>11</v>
      </c>
      <c r="K22" s="6" t="n">
        <v>82.56</v>
      </c>
      <c r="L22" s="6" t="n">
        <v>71.56</v>
      </c>
      <c r="M22" s="6" t="n">
        <v>7.02</v>
      </c>
      <c r="N22" s="6" t="n">
        <v>4.33</v>
      </c>
    </row>
    <row collapsed="false" customFormat="false" customHeight="false" hidden="false" ht="12.1" outlineLevel="0" r="23">
      <c r="A23" s="33" t="n">
        <v>45457</v>
      </c>
      <c r="B23" s="2" t="s">
        <v>1163</v>
      </c>
      <c r="C23" s="2" t="s">
        <v>40</v>
      </c>
      <c r="D23" s="2" t="s">
        <v>41</v>
      </c>
      <c r="E23" s="7" t="n">
        <v>10</v>
      </c>
      <c r="F23" s="2" t="s">
        <v>20</v>
      </c>
      <c r="G23" s="6" t="n">
        <v>17.35</v>
      </c>
      <c r="H23" s="6" t="n">
        <v>240.1</v>
      </c>
      <c r="I23" s="6" t="n">
        <v>116.15</v>
      </c>
      <c r="J23" s="6" t="n">
        <v>23</v>
      </c>
      <c r="K23" s="6" t="n">
        <v>173.5</v>
      </c>
      <c r="L23" s="6" t="n">
        <v>150.5</v>
      </c>
      <c r="M23" s="6" t="n">
        <v>12.96</v>
      </c>
      <c r="N23" s="6" t="n">
        <v>6.27</v>
      </c>
    </row>
    <row collapsed="false" customFormat="false" customHeight="false" hidden="false" ht="12.1" outlineLevel="0" r="24">
      <c r="A24" s="33" t="n">
        <v>45482</v>
      </c>
      <c r="B24" s="2" t="s">
        <v>1163</v>
      </c>
      <c r="C24" s="2" t="s">
        <v>72</v>
      </c>
      <c r="D24" s="2" t="s">
        <v>73</v>
      </c>
      <c r="E24" s="7" t="n">
        <v>1000</v>
      </c>
      <c r="F24" s="2" t="s">
        <v>20</v>
      </c>
      <c r="G24" s="6" t="n">
        <v>0.1604</v>
      </c>
      <c r="H24" s="6" t="n">
        <v>2.7985</v>
      </c>
      <c r="I24" s="6" t="n">
        <v>3.14</v>
      </c>
      <c r="J24" s="6" t="n">
        <v>21</v>
      </c>
      <c r="K24" s="6" t="n">
        <v>160.38</v>
      </c>
      <c r="L24" s="6" t="n">
        <v>139.38</v>
      </c>
      <c r="M24" s="6" t="n">
        <v>4.44</v>
      </c>
      <c r="N24" s="6" t="n">
        <v>4.98</v>
      </c>
    </row>
    <row collapsed="false" customFormat="false" customHeight="false" hidden="false" ht="12.1" outlineLevel="0" r="25">
      <c r="A25" s="33" t="n">
        <v>45482</v>
      </c>
      <c r="B25" s="2" t="s">
        <v>1163</v>
      </c>
      <c r="C25" s="2" t="s">
        <v>34</v>
      </c>
      <c r="D25" s="2" t="s">
        <v>35</v>
      </c>
      <c r="E25" s="7" t="n">
        <v>1</v>
      </c>
      <c r="F25" s="2" t="s">
        <v>20</v>
      </c>
      <c r="G25" s="6" t="n">
        <v>25.17</v>
      </c>
      <c r="H25" s="6" t="n">
        <v>660.5</v>
      </c>
      <c r="I25" s="6" t="n">
        <v>394.48</v>
      </c>
      <c r="J25" s="6" t="n">
        <v>3</v>
      </c>
      <c r="K25" s="6" t="n">
        <v>25.17</v>
      </c>
      <c r="L25" s="6" t="n">
        <v>22.17</v>
      </c>
      <c r="M25" s="6" t="n">
        <v>5.62</v>
      </c>
      <c r="N25" s="6" t="n">
        <v>3.36</v>
      </c>
    </row>
    <row collapsed="false" customFormat="false" customHeight="false" hidden="false" ht="12.1" outlineLevel="0" r="26">
      <c r="A26" s="33" t="n">
        <v>45484</v>
      </c>
      <c r="B26" s="2" t="s">
        <v>1163</v>
      </c>
      <c r="C26" s="2" t="s">
        <v>28</v>
      </c>
      <c r="D26" s="2" t="s">
        <v>29</v>
      </c>
      <c r="E26" s="7" t="n">
        <v>30</v>
      </c>
      <c r="F26" s="2" t="s">
        <v>20</v>
      </c>
      <c r="G26" s="6" t="n">
        <v>33.3</v>
      </c>
      <c r="H26" s="6" t="n">
        <v>296</v>
      </c>
      <c r="I26" s="6" t="n">
        <v>205.89</v>
      </c>
      <c r="J26" s="6" t="n">
        <v>130</v>
      </c>
      <c r="K26" s="6" t="n">
        <v>999</v>
      </c>
      <c r="L26" s="6" t="n">
        <v>869</v>
      </c>
      <c r="M26" s="6" t="n">
        <v>14.07</v>
      </c>
      <c r="N26" s="6" t="n">
        <v>9.79</v>
      </c>
    </row>
    <row collapsed="false" customFormat="false" customHeight="false" hidden="false" ht="12.1" outlineLevel="0" r="27">
      <c r="A27" s="33" t="n">
        <v>45484</v>
      </c>
      <c r="B27" s="2" t="s">
        <v>1163</v>
      </c>
      <c r="C27" s="2" t="s">
        <v>17</v>
      </c>
      <c r="D27" s="2" t="s">
        <v>19</v>
      </c>
      <c r="E27" s="7" t="n">
        <v>130</v>
      </c>
      <c r="F27" s="2" t="s">
        <v>20</v>
      </c>
      <c r="G27" s="6" t="n">
        <v>33.3</v>
      </c>
      <c r="H27" s="6" t="n">
        <v>295.87</v>
      </c>
      <c r="I27" s="6" t="n">
        <v>240.65</v>
      </c>
      <c r="J27" s="6" t="n">
        <v>563</v>
      </c>
      <c r="K27" s="6" t="n">
        <v>4329</v>
      </c>
      <c r="L27" s="6" t="n">
        <v>3766</v>
      </c>
      <c r="M27" s="6" t="n">
        <v>12.04</v>
      </c>
      <c r="N27" s="6" t="n">
        <v>9.79</v>
      </c>
    </row>
    <row collapsed="false" customFormat="false" customHeight="false" hidden="false" ht="12.1" outlineLevel="0" r="28">
      <c r="A28" s="33" t="n">
        <v>45489</v>
      </c>
      <c r="B28" s="2" t="s">
        <v>1163</v>
      </c>
      <c r="C28" s="2" t="s">
        <v>52</v>
      </c>
      <c r="D28" s="2" t="s">
        <v>53</v>
      </c>
      <c r="E28" s="7" t="n">
        <v>10</v>
      </c>
      <c r="F28" s="2" t="s">
        <v>20</v>
      </c>
      <c r="G28" s="6" t="n">
        <v>35</v>
      </c>
      <c r="H28" s="6" t="n">
        <v>220.85</v>
      </c>
      <c r="I28" s="6" t="n">
        <v>276.18</v>
      </c>
      <c r="J28" s="6" t="n">
        <v>46</v>
      </c>
      <c r="K28" s="6" t="n">
        <v>350</v>
      </c>
      <c r="L28" s="6" t="n">
        <v>304</v>
      </c>
      <c r="M28" s="6" t="n">
        <v>11.01</v>
      </c>
      <c r="N28" s="6" t="n">
        <v>13.76</v>
      </c>
    </row>
    <row collapsed="false" customFormat="false" customHeight="false" hidden="false" ht="12.1" outlineLevel="0" r="29">
      <c r="A29" s="33" t="n">
        <v>45490</v>
      </c>
      <c r="B29" s="2" t="s">
        <v>1163</v>
      </c>
      <c r="C29" s="2" t="s">
        <v>60</v>
      </c>
      <c r="D29" s="2" t="s">
        <v>61</v>
      </c>
      <c r="E29" s="7" t="n">
        <v>100</v>
      </c>
      <c r="F29" s="2" t="s">
        <v>20</v>
      </c>
      <c r="G29" s="6" t="n">
        <v>0.52</v>
      </c>
      <c r="H29" s="6" t="n">
        <v>21.288</v>
      </c>
      <c r="I29" s="6" t="n">
        <v>12.08</v>
      </c>
      <c r="J29" s="6" t="n">
        <v>7</v>
      </c>
      <c r="K29" s="6" t="n">
        <v>52</v>
      </c>
      <c r="L29" s="6" t="n">
        <v>45</v>
      </c>
      <c r="M29" s="6" t="n">
        <v>3.72</v>
      </c>
      <c r="N29" s="6" t="n">
        <v>2.11</v>
      </c>
    </row>
    <row collapsed="false" customFormat="false" customHeight="false" hidden="false" ht="12.1" outlineLevel="0" r="30">
      <c r="A30" s="33" t="n">
        <v>45491</v>
      </c>
      <c r="B30" s="2" t="s">
        <v>1163</v>
      </c>
      <c r="C30" s="2" t="s">
        <v>43</v>
      </c>
      <c r="D30" s="2" t="s">
        <v>44</v>
      </c>
      <c r="E30" s="7" t="n">
        <v>100</v>
      </c>
      <c r="F30" s="2" t="s">
        <v>20</v>
      </c>
      <c r="G30" s="6" t="n">
        <v>12.29</v>
      </c>
      <c r="H30" s="6" t="n">
        <v>49.27</v>
      </c>
      <c r="I30" s="6" t="n">
        <v>33.42</v>
      </c>
      <c r="J30" s="6" t="n">
        <v>160</v>
      </c>
      <c r="K30" s="6" t="n">
        <v>1229</v>
      </c>
      <c r="L30" s="6" t="n">
        <v>1069</v>
      </c>
      <c r="M30" s="6" t="n">
        <v>31.99</v>
      </c>
      <c r="N30" s="6" t="n">
        <v>21.7</v>
      </c>
    </row>
    <row collapsed="false" customFormat="false" customHeight="false" hidden="false" ht="12.1" outlineLevel="0" r="31">
      <c r="A31" s="33" t="n">
        <v>45491</v>
      </c>
      <c r="B31" s="2" t="s">
        <v>1163</v>
      </c>
      <c r="C31" s="2" t="s">
        <v>70</v>
      </c>
      <c r="D31" s="2" t="s">
        <v>71</v>
      </c>
      <c r="E31" s="7" t="n">
        <v>100</v>
      </c>
      <c r="F31" s="2" t="s">
        <v>20</v>
      </c>
      <c r="G31" s="6" t="n">
        <v>0.85</v>
      </c>
      <c r="H31" s="6" t="n">
        <v>27.855</v>
      </c>
      <c r="I31" s="6" t="n">
        <v>22.33</v>
      </c>
      <c r="J31" s="6" t="n">
        <v>11</v>
      </c>
      <c r="K31" s="6" t="n">
        <v>85</v>
      </c>
      <c r="L31" s="6" t="n">
        <v>74</v>
      </c>
      <c r="M31" s="6" t="n">
        <v>3.31</v>
      </c>
      <c r="N31" s="6" t="n">
        <v>2.66</v>
      </c>
    </row>
    <row collapsed="false" customFormat="false" customHeight="false" hidden="false" ht="12.1" outlineLevel="0" r="32">
      <c r="A32" s="33" t="n">
        <v>45493</v>
      </c>
      <c r="B32" s="2" t="s">
        <v>1163</v>
      </c>
      <c r="C32" s="2" t="s">
        <v>76</v>
      </c>
      <c r="D32" s="2" t="s">
        <v>77</v>
      </c>
      <c r="E32" s="7" t="n">
        <v>10</v>
      </c>
      <c r="F32" s="2" t="s">
        <v>20</v>
      </c>
      <c r="G32" s="6" t="n">
        <v>11.27</v>
      </c>
      <c r="H32" s="6" t="n">
        <v>111.9</v>
      </c>
      <c r="I32" s="6" t="n">
        <v>142.12</v>
      </c>
      <c r="J32" s="6" t="n">
        <v>15</v>
      </c>
      <c r="K32" s="6" t="n">
        <v>112.7</v>
      </c>
      <c r="L32" s="6" t="n">
        <v>97.7</v>
      </c>
      <c r="M32" s="6" t="n">
        <v>6.87</v>
      </c>
      <c r="N32" s="6" t="n">
        <v>8.73</v>
      </c>
    </row>
    <row collapsed="false" customFormat="false" customHeight="false" hidden="false" ht="12.1" outlineLevel="0" r="33">
      <c r="A33" s="33" t="n">
        <v>45562</v>
      </c>
      <c r="B33" s="2" t="s">
        <v>1163</v>
      </c>
      <c r="C33" s="2" t="s">
        <v>63</v>
      </c>
      <c r="D33" s="2" t="s">
        <v>64</v>
      </c>
      <c r="E33" s="7" t="n">
        <v>40</v>
      </c>
      <c r="F33" s="2" t="s">
        <v>20</v>
      </c>
      <c r="G33" s="6" t="n">
        <v>6.06</v>
      </c>
      <c r="H33" s="6" t="n">
        <v>76.67</v>
      </c>
      <c r="I33" s="6" t="n">
        <v>73.93</v>
      </c>
      <c r="J33" s="6" t="n">
        <v>32</v>
      </c>
      <c r="K33" s="6" t="n">
        <v>242.4</v>
      </c>
      <c r="L33" s="6" t="n">
        <v>210.4</v>
      </c>
      <c r="M33" s="6" t="n">
        <v>7.11</v>
      </c>
      <c r="N33" s="6" t="n">
        <v>6.86</v>
      </c>
    </row>
    <row collapsed="false" customFormat="false" customHeight="false" hidden="false" ht="12.1" outlineLevel="0" r="34">
      <c r="A34" s="33" t="n">
        <v>45573</v>
      </c>
      <c r="B34" s="2" t="s">
        <v>1163</v>
      </c>
      <c r="C34" s="2" t="s">
        <v>34</v>
      </c>
      <c r="D34" s="2" t="s">
        <v>35</v>
      </c>
      <c r="E34" s="7" t="n">
        <v>1</v>
      </c>
      <c r="F34" s="2" t="s">
        <v>20</v>
      </c>
      <c r="G34" s="6" t="n">
        <v>38.2</v>
      </c>
      <c r="H34" s="6" t="n">
        <v>622.6</v>
      </c>
      <c r="I34" s="6" t="n">
        <v>394.48</v>
      </c>
      <c r="J34" s="6" t="n">
        <v>5</v>
      </c>
      <c r="K34" s="6" t="n">
        <v>38.2</v>
      </c>
      <c r="L34" s="6" t="n">
        <v>33.2</v>
      </c>
      <c r="M34" s="6" t="n">
        <v>8.42</v>
      </c>
      <c r="N34" s="6" t="n">
        <v>5.33</v>
      </c>
    </row>
    <row collapsed="false" customFormat="false" customHeight="false" hidden="false" ht="12.1" outlineLevel="0" r="35">
      <c r="A35" s="33" t="n">
        <v>45576</v>
      </c>
      <c r="B35" s="2" t="s">
        <v>1163</v>
      </c>
      <c r="C35" s="2" t="s">
        <v>84</v>
      </c>
      <c r="D35" s="2" t="s">
        <v>85</v>
      </c>
      <c r="E35" s="7" t="n">
        <v>1</v>
      </c>
      <c r="F35" s="2" t="s">
        <v>20</v>
      </c>
      <c r="G35" s="6" t="n">
        <v>35.5</v>
      </c>
      <c r="H35" s="6" t="n">
        <v>957.8</v>
      </c>
      <c r="I35" s="6" t="n">
        <v>1031.08</v>
      </c>
      <c r="J35" s="6" t="n">
        <v>5</v>
      </c>
      <c r="K35" s="6" t="n">
        <v>35.5</v>
      </c>
      <c r="L35" s="6" t="n">
        <v>30.5</v>
      </c>
      <c r="M35" s="6" t="n">
        <v>2.96</v>
      </c>
      <c r="N35" s="6" t="n">
        <v>3.18</v>
      </c>
    </row>
    <row collapsed="false" customFormat="false" customHeight="false" hidden="false" ht="12.1" outlineLevel="0" r="36">
      <c r="A36" s="33" t="n">
        <v>45582</v>
      </c>
      <c r="B36" s="2" t="s">
        <v>1163</v>
      </c>
      <c r="C36" s="2" t="s">
        <v>86</v>
      </c>
      <c r="D36" s="2" t="s">
        <v>87</v>
      </c>
      <c r="E36" s="7" t="n">
        <v>30</v>
      </c>
      <c r="F36" s="2" t="s">
        <v>20</v>
      </c>
      <c r="G36" s="6" t="n">
        <v>2.494</v>
      </c>
      <c r="H36" s="6" t="n">
        <v>40.655</v>
      </c>
      <c r="I36" s="6" t="n">
        <v>33.98</v>
      </c>
      <c r="J36" s="6" t="n">
        <v>10</v>
      </c>
      <c r="K36" s="6" t="n">
        <v>74.82</v>
      </c>
      <c r="L36" s="6" t="n">
        <v>64.82</v>
      </c>
      <c r="M36" s="6" t="n">
        <v>6.36</v>
      </c>
      <c r="N36" s="6" t="n">
        <v>5.31</v>
      </c>
    </row>
    <row collapsed="false" customFormat="false" customHeight="false" hidden="false" ht="12.1" outlineLevel="0" r="37">
      <c r="A37" s="33" t="n">
        <v>45584</v>
      </c>
      <c r="B37" s="2" t="s">
        <v>1163</v>
      </c>
      <c r="C37" s="2" t="s">
        <v>92</v>
      </c>
      <c r="D37" s="2" t="s">
        <v>93</v>
      </c>
      <c r="E37" s="7" t="n">
        <v>10</v>
      </c>
      <c r="F37" s="2" t="s">
        <v>20</v>
      </c>
      <c r="G37" s="6" t="n">
        <v>2.49</v>
      </c>
      <c r="H37" s="6" t="n">
        <v>52.2</v>
      </c>
      <c r="I37" s="6" t="n">
        <v>70.72</v>
      </c>
      <c r="J37" s="6" t="n">
        <v>3</v>
      </c>
      <c r="K37" s="6" t="n">
        <v>24.9</v>
      </c>
      <c r="L37" s="6" t="n">
        <v>21.9</v>
      </c>
      <c r="M37" s="6" t="n">
        <v>3.1</v>
      </c>
      <c r="N37" s="6" t="n">
        <v>4.2</v>
      </c>
    </row>
    <row collapsed="false" customFormat="false" customHeight="false" hidden="false" ht="12.1" outlineLevel="0" r="38">
      <c r="A38" s="33" t="n">
        <v>45639</v>
      </c>
      <c r="B38" s="2" t="s">
        <v>1163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1301.75</v>
      </c>
      <c r="H38" s="6" t="n">
        <v>13692.5</v>
      </c>
      <c r="I38" s="6" t="n">
        <v>9215.06</v>
      </c>
      <c r="J38" s="6" t="n">
        <v>169</v>
      </c>
      <c r="K38" s="6" t="n">
        <v>1301.75</v>
      </c>
      <c r="L38" s="6" t="n">
        <v>1132.75</v>
      </c>
      <c r="M38" s="6" t="n">
        <v>12.29</v>
      </c>
      <c r="N38" s="6" t="n">
        <v>8.27</v>
      </c>
    </row>
    <row collapsed="false" customFormat="false" customHeight="false" hidden="false" ht="12.1" outlineLevel="0" r="39">
      <c r="A39" s="33" t="n">
        <v>45665</v>
      </c>
      <c r="B39" s="2" t="s">
        <v>1163</v>
      </c>
      <c r="C39" s="2" t="s">
        <v>34</v>
      </c>
      <c r="D39" s="2" t="s">
        <v>35</v>
      </c>
      <c r="E39" s="7" t="n">
        <v>9</v>
      </c>
      <c r="F39" s="2" t="s">
        <v>20</v>
      </c>
      <c r="G39" s="6" t="n">
        <v>17.39</v>
      </c>
      <c r="H39" s="6" t="n">
        <v>654.7</v>
      </c>
      <c r="I39" s="6" t="n">
        <v>541.85</v>
      </c>
      <c r="J39" s="6" t="n">
        <v>20</v>
      </c>
      <c r="K39" s="6" t="n">
        <v>156.51</v>
      </c>
      <c r="L39" s="6" t="n">
        <v>136.51</v>
      </c>
      <c r="M39" s="6" t="n">
        <v>2.8</v>
      </c>
      <c r="N39" s="6" t="n">
        <v>2.32</v>
      </c>
    </row>
    <row collapsed="false" customFormat="false" customHeight="false" hidden="false" ht="12.1" outlineLevel="0" r="40">
      <c r="A40" s="33" t="n">
        <v>45772</v>
      </c>
      <c r="B40" s="2" t="s">
        <v>1163</v>
      </c>
      <c r="C40" s="2" t="s">
        <v>25</v>
      </c>
      <c r="D40" s="2" t="s">
        <v>26</v>
      </c>
      <c r="E40" s="7" t="n">
        <v>10</v>
      </c>
      <c r="F40" s="2" t="s">
        <v>20</v>
      </c>
      <c r="G40" s="6" t="n">
        <v>73</v>
      </c>
      <c r="H40" s="6" t="n">
        <v>1856.8</v>
      </c>
      <c r="I40" s="6" t="n">
        <v>921.51</v>
      </c>
      <c r="J40" s="6" t="n">
        <v>95</v>
      </c>
      <c r="K40" s="6" t="n">
        <v>730</v>
      </c>
      <c r="L40" s="6" t="n">
        <v>635</v>
      </c>
      <c r="M40" s="6" t="n">
        <v>6.89</v>
      </c>
      <c r="N40" s="6" t="n">
        <v>3.42</v>
      </c>
    </row>
    <row collapsed="false" customFormat="false" customHeight="false" hidden="false" ht="12.1" outlineLevel="0" r="41">
      <c r="A41" s="33" t="n">
        <v>45775</v>
      </c>
      <c r="B41" s="2" t="s">
        <v>1163</v>
      </c>
      <c r="C41" s="2" t="s">
        <v>84</v>
      </c>
      <c r="D41" s="2" t="s">
        <v>85</v>
      </c>
      <c r="E41" s="7" t="n">
        <v>1</v>
      </c>
      <c r="F41" s="2" t="s">
        <v>20</v>
      </c>
      <c r="G41" s="6" t="n">
        <v>46.65</v>
      </c>
      <c r="H41" s="6" t="n">
        <v>1266.2</v>
      </c>
      <c r="I41" s="6" t="n">
        <v>1031.08</v>
      </c>
      <c r="J41" s="6" t="n">
        <v>6</v>
      </c>
      <c r="K41" s="6" t="n">
        <v>46.65</v>
      </c>
      <c r="L41" s="6" t="n">
        <v>40.65</v>
      </c>
      <c r="M41" s="6" t="n">
        <v>3.94</v>
      </c>
      <c r="N41" s="6" t="n">
        <v>3.21</v>
      </c>
    </row>
    <row collapsed="false" customFormat="false" customHeight="false" hidden="false" ht="12.1" outlineLevel="0" r="42">
      <c r="A42" s="33" t="n">
        <v>45782</v>
      </c>
      <c r="B42" s="2" t="s">
        <v>1163</v>
      </c>
      <c r="C42" s="2" t="s">
        <v>57</v>
      </c>
      <c r="D42" s="2" t="s">
        <v>58</v>
      </c>
      <c r="E42" s="7" t="n">
        <v>10</v>
      </c>
      <c r="F42" s="2" t="s">
        <v>20</v>
      </c>
      <c r="G42" s="6" t="n">
        <v>29.72</v>
      </c>
      <c r="H42" s="6" t="n">
        <v>378.42</v>
      </c>
      <c r="I42" s="6" t="n">
        <v>307.03</v>
      </c>
      <c r="J42" s="6" t="n">
        <v>39</v>
      </c>
      <c r="K42" s="6" t="n">
        <v>297.2</v>
      </c>
      <c r="L42" s="6" t="n">
        <v>258.2</v>
      </c>
      <c r="M42" s="6" t="n">
        <v>8.41</v>
      </c>
      <c r="N42" s="6" t="n">
        <v>6.82</v>
      </c>
    </row>
    <row collapsed="false" customFormat="false" customHeight="false" hidden="false" ht="12.1" outlineLevel="0" r="43">
      <c r="A43" s="33" t="n">
        <v>45793</v>
      </c>
      <c r="B43" s="2" t="s">
        <v>1163</v>
      </c>
      <c r="C43" s="2" t="s">
        <v>22</v>
      </c>
      <c r="D43" s="2" t="s">
        <v>23</v>
      </c>
      <c r="E43" s="7" t="n">
        <v>6</v>
      </c>
      <c r="F43" s="2" t="s">
        <v>20</v>
      </c>
      <c r="G43" s="6" t="n">
        <v>32</v>
      </c>
      <c r="H43" s="6" t="n">
        <v>3072.8</v>
      </c>
      <c r="I43" s="6" t="n">
        <v>3078.98</v>
      </c>
      <c r="J43" s="6" t="n">
        <v>25</v>
      </c>
      <c r="K43" s="6" t="n">
        <v>192</v>
      </c>
      <c r="L43" s="6" t="n">
        <v>167</v>
      </c>
      <c r="M43" s="6" t="n">
        <v>0.9</v>
      </c>
      <c r="N43" s="6" t="n">
        <v>0.91</v>
      </c>
    </row>
    <row collapsed="false" customFormat="false" customHeight="false" hidden="false" ht="12.1" outlineLevel="0" r="44">
      <c r="A44" s="33"/>
      <c r="B44" s="2"/>
      <c r="C44" s="2"/>
      <c r="D44" s="2"/>
      <c r="E44" s="7"/>
      <c r="F44" s="2"/>
      <c r="G44" s="6"/>
      <c r="H44" s="6"/>
      <c r="I44" s="6"/>
      <c r="J44" s="6"/>
      <c r="K44" s="6"/>
      <c r="L44" s="6"/>
      <c r="M44" s="6"/>
      <c r="N44" s="6"/>
    </row>
    <row collapsed="false" customFormat="false" customHeight="false" hidden="false" ht="12.1" outlineLevel="0" r="45">
      <c r="A45" s="33" t="n">
        <v>45810</v>
      </c>
      <c r="B45" s="2" t="s">
        <v>1163</v>
      </c>
      <c r="C45" s="2" t="s">
        <v>34</v>
      </c>
      <c r="D45" s="2" t="s">
        <v>35</v>
      </c>
      <c r="E45" s="7" t="n">
        <v>10</v>
      </c>
      <c r="F45" s="2" t="s">
        <v>20</v>
      </c>
      <c r="G45" s="6" t="n">
        <v>43.11</v>
      </c>
      <c r="H45" s="6" t="n">
        <v>656.5</v>
      </c>
      <c r="I45" s="6" t="n">
        <v>557.39</v>
      </c>
      <c r="J45" s="6" t="n">
        <v>56</v>
      </c>
      <c r="K45" s="6" t="n">
        <v>431.1</v>
      </c>
      <c r="L45" s="6" t="n">
        <v>375.1</v>
      </c>
      <c r="M45" s="6" t="n">
        <v>6.73</v>
      </c>
      <c r="N45" s="6" t="n">
        <v>5.71</v>
      </c>
    </row>
    <row collapsed="false" customFormat="false" customHeight="false" hidden="false" ht="12.1" outlineLevel="0" r="46">
      <c r="A46" s="33" t="n">
        <v>45817</v>
      </c>
      <c r="B46" s="2" t="s">
        <v>1163</v>
      </c>
      <c r="C46" s="2" t="s">
        <v>46</v>
      </c>
      <c r="D46" s="2" t="s">
        <v>47</v>
      </c>
      <c r="E46" s="7" t="n">
        <v>1400</v>
      </c>
      <c r="F46" s="2" t="s">
        <v>20</v>
      </c>
      <c r="G46" s="6" t="n">
        <v>0.3538</v>
      </c>
      <c r="H46" s="6" t="n">
        <v>3.693</v>
      </c>
      <c r="I46" s="6" t="n">
        <v>3.92</v>
      </c>
      <c r="J46" s="6" t="n">
        <v>64</v>
      </c>
      <c r="K46" s="6" t="n">
        <v>495.2591</v>
      </c>
      <c r="L46" s="6" t="n">
        <v>431.26</v>
      </c>
      <c r="M46" s="6" t="n">
        <v>7.86</v>
      </c>
      <c r="N46" s="6" t="n">
        <v>8.34</v>
      </c>
    </row>
    <row collapsed="false" customFormat="false" customHeight="false" hidden="false" ht="12.1" outlineLevel="0" r="47">
      <c r="A47" s="33" t="n">
        <v>45845</v>
      </c>
      <c r="B47" s="2" t="s">
        <v>1163</v>
      </c>
      <c r="C47" s="2" t="s">
        <v>52</v>
      </c>
      <c r="D47" s="2" t="s">
        <v>53</v>
      </c>
      <c r="E47" s="7" t="n">
        <v>20</v>
      </c>
      <c r="F47" s="2" t="s">
        <v>20</v>
      </c>
      <c r="G47" s="6" t="n">
        <v>35</v>
      </c>
      <c r="H47" s="6" t="n">
        <v>226.35</v>
      </c>
      <c r="I47" s="6" t="n">
        <v>229.94</v>
      </c>
      <c r="J47" s="6" t="n">
        <v>91</v>
      </c>
      <c r="K47" s="6" t="n">
        <v>700</v>
      </c>
      <c r="L47" s="6" t="n">
        <v>609</v>
      </c>
      <c r="M47" s="6" t="n">
        <v>13.24</v>
      </c>
      <c r="N47" s="6" t="n">
        <v>13.45</v>
      </c>
    </row>
    <row collapsed="false" customFormat="false" customHeight="false" hidden="false" ht="12.1" outlineLevel="0" r="48">
      <c r="A48" s="33" t="n">
        <v>45846</v>
      </c>
      <c r="B48" s="2" t="s">
        <v>1163</v>
      </c>
      <c r="C48" s="2" t="s">
        <v>72</v>
      </c>
      <c r="D48" s="2" t="s">
        <v>73</v>
      </c>
      <c r="E48" s="7" t="n">
        <v>1000</v>
      </c>
      <c r="F48" s="2" t="s">
        <v>20</v>
      </c>
      <c r="G48" s="6" t="n">
        <v>0.2261</v>
      </c>
      <c r="H48" s="6" t="n">
        <v>2.252</v>
      </c>
      <c r="I48" s="6" t="n">
        <v>3.14</v>
      </c>
      <c r="J48" s="6" t="n">
        <v>29</v>
      </c>
      <c r="K48" s="6" t="n">
        <v>226.0637</v>
      </c>
      <c r="L48" s="6" t="n">
        <v>197.06</v>
      </c>
      <c r="M48" s="6" t="n">
        <v>6.28</v>
      </c>
      <c r="N48" s="6" t="n">
        <v>8.75</v>
      </c>
    </row>
    <row collapsed="false" customFormat="false" customHeight="false" hidden="false" ht="12.1" outlineLevel="0" r="49">
      <c r="A49" s="33" t="n">
        <v>45848</v>
      </c>
      <c r="B49" s="2" t="s">
        <v>1163</v>
      </c>
      <c r="C49" s="2" t="s">
        <v>40</v>
      </c>
      <c r="D49" s="2" t="s">
        <v>41</v>
      </c>
      <c r="E49" s="7" t="n">
        <v>30</v>
      </c>
      <c r="F49" s="2" t="s">
        <v>20</v>
      </c>
      <c r="G49" s="6" t="n">
        <v>26.11</v>
      </c>
      <c r="H49" s="6" t="n">
        <v>190.82</v>
      </c>
      <c r="I49" s="6" t="n">
        <v>185.13</v>
      </c>
      <c r="J49" s="6" t="n">
        <v>102</v>
      </c>
      <c r="K49" s="6" t="n">
        <v>783.3</v>
      </c>
      <c r="L49" s="6" t="n">
        <v>681.3</v>
      </c>
      <c r="M49" s="6" t="n">
        <v>12.27</v>
      </c>
      <c r="N49" s="6" t="n">
        <v>11.9</v>
      </c>
    </row>
    <row collapsed="false" customFormat="false" customHeight="false" hidden="false" ht="12.1" outlineLevel="0" r="50">
      <c r="A50" s="33" t="n">
        <v>45849</v>
      </c>
      <c r="B50" s="2" t="s">
        <v>1163</v>
      </c>
      <c r="C50" s="2" t="s">
        <v>49</v>
      </c>
      <c r="D50" s="2" t="s">
        <v>50</v>
      </c>
      <c r="E50" s="7" t="n">
        <v>50</v>
      </c>
      <c r="F50" s="2" t="s">
        <v>20</v>
      </c>
      <c r="G50" s="6" t="n">
        <v>25.58</v>
      </c>
      <c r="H50" s="6" t="n">
        <v>95.1</v>
      </c>
      <c r="I50" s="6" t="n">
        <v>98.15</v>
      </c>
      <c r="J50" s="6" t="n">
        <v>166</v>
      </c>
      <c r="K50" s="6" t="n">
        <v>1279</v>
      </c>
      <c r="L50" s="6" t="n">
        <v>1113</v>
      </c>
      <c r="M50" s="6" t="n">
        <v>22.68</v>
      </c>
      <c r="N50" s="6" t="n">
        <v>23.41</v>
      </c>
    </row>
    <row collapsed="false" customFormat="false" customHeight="false" hidden="false" ht="12.1" outlineLevel="0" r="51">
      <c r="A51" s="33" t="n">
        <v>45855</v>
      </c>
      <c r="B51" s="2" t="s">
        <v>1163</v>
      </c>
      <c r="C51" s="2" t="s">
        <v>43</v>
      </c>
      <c r="D51" s="2" t="s">
        <v>44</v>
      </c>
      <c r="E51" s="7" t="n">
        <v>100</v>
      </c>
      <c r="F51" s="2" t="s">
        <v>20</v>
      </c>
      <c r="G51" s="6" t="n">
        <v>8.5</v>
      </c>
      <c r="H51" s="6" t="n">
        <v>52.505</v>
      </c>
      <c r="I51" s="6" t="n">
        <v>33.42</v>
      </c>
      <c r="J51" s="6" t="n">
        <v>111</v>
      </c>
      <c r="K51" s="6" t="n">
        <v>850</v>
      </c>
      <c r="L51" s="6" t="n">
        <v>739</v>
      </c>
      <c r="M51" s="6" t="n">
        <v>22.11</v>
      </c>
      <c r="N51" s="6" t="n">
        <v>14.07</v>
      </c>
    </row>
    <row collapsed="false" customFormat="false" customHeight="false" hidden="false" ht="12.1" outlineLevel="0" r="52">
      <c r="A52" s="33" t="n">
        <v>45855</v>
      </c>
      <c r="B52" s="2" t="s">
        <v>1163</v>
      </c>
      <c r="C52" s="2" t="s">
        <v>22</v>
      </c>
      <c r="D52" s="2" t="s">
        <v>23</v>
      </c>
      <c r="E52" s="7" t="n">
        <v>6</v>
      </c>
      <c r="F52" s="2" t="s">
        <v>20</v>
      </c>
      <c r="G52" s="6" t="n">
        <v>33</v>
      </c>
      <c r="H52" s="6" t="n">
        <v>3286.6</v>
      </c>
      <c r="I52" s="6" t="n">
        <v>3078.98</v>
      </c>
      <c r="J52" s="6" t="n">
        <v>26</v>
      </c>
      <c r="K52" s="6" t="n">
        <v>198</v>
      </c>
      <c r="L52" s="6" t="n">
        <v>172</v>
      </c>
      <c r="M52" s="6" t="n">
        <v>0.93</v>
      </c>
      <c r="N52" s="6" t="n">
        <v>0.87</v>
      </c>
    </row>
    <row collapsed="false" customFormat="false" customHeight="false" hidden="false" ht="12.1" outlineLevel="0" r="53">
      <c r="A53" s="33" t="n">
        <v>45855</v>
      </c>
      <c r="B53" s="2" t="s">
        <v>1163</v>
      </c>
      <c r="C53" s="2" t="s">
        <v>70</v>
      </c>
      <c r="D53" s="2" t="s">
        <v>71</v>
      </c>
      <c r="E53" s="7" t="n">
        <v>100</v>
      </c>
      <c r="F53" s="2" t="s">
        <v>20</v>
      </c>
      <c r="G53" s="6" t="n">
        <v>0.9</v>
      </c>
      <c r="H53" s="6" t="n">
        <v>22.38</v>
      </c>
      <c r="I53" s="6" t="n">
        <v>22.33</v>
      </c>
      <c r="J53" s="6" t="n">
        <v>12</v>
      </c>
      <c r="K53" s="6" t="n">
        <v>90</v>
      </c>
      <c r="L53" s="6" t="n">
        <v>78</v>
      </c>
      <c r="M53" s="6" t="n">
        <v>3.49</v>
      </c>
      <c r="N53" s="6" t="n">
        <v>3.49</v>
      </c>
    </row>
    <row collapsed="false" customFormat="false" customHeight="false" hidden="false" ht="12.1" outlineLevel="0" r="54">
      <c r="A54" s="33" t="n">
        <v>45856</v>
      </c>
      <c r="B54" s="2" t="s">
        <v>1163</v>
      </c>
      <c r="C54" s="2" t="s">
        <v>28</v>
      </c>
      <c r="D54" s="2" t="s">
        <v>29</v>
      </c>
      <c r="E54" s="7" t="n">
        <v>30</v>
      </c>
      <c r="F54" s="2" t="s">
        <v>20</v>
      </c>
      <c r="G54" s="6" t="n">
        <v>34.84</v>
      </c>
      <c r="H54" s="6" t="n">
        <v>311.29</v>
      </c>
      <c r="I54" s="6" t="n">
        <v>205.89</v>
      </c>
      <c r="J54" s="6" t="n">
        <v>136</v>
      </c>
      <c r="K54" s="6" t="n">
        <v>1045.2</v>
      </c>
      <c r="L54" s="6" t="n">
        <v>909.2</v>
      </c>
      <c r="M54" s="6" t="n">
        <v>14.72</v>
      </c>
      <c r="N54" s="6" t="n">
        <v>9.74</v>
      </c>
    </row>
    <row collapsed="false" customFormat="false" customHeight="false" hidden="false" ht="12.1" outlineLevel="0" r="55">
      <c r="A55" s="33" t="n">
        <v>45856</v>
      </c>
      <c r="B55" s="2" t="s">
        <v>1163</v>
      </c>
      <c r="C55" s="2" t="s">
        <v>54</v>
      </c>
      <c r="D55" s="2" t="s">
        <v>55</v>
      </c>
      <c r="E55" s="7" t="n">
        <v>60</v>
      </c>
      <c r="F55" s="2" t="s">
        <v>20</v>
      </c>
      <c r="G55" s="6" t="n">
        <v>5.27</v>
      </c>
      <c r="H55" s="6" t="n">
        <v>65.87</v>
      </c>
      <c r="I55" s="6" t="n">
        <v>41.19</v>
      </c>
      <c r="J55" s="6" t="n">
        <v>41</v>
      </c>
      <c r="K55" s="6" t="n">
        <v>316.2</v>
      </c>
      <c r="L55" s="6" t="n">
        <v>275.2</v>
      </c>
      <c r="M55" s="6" t="n">
        <v>11.13</v>
      </c>
      <c r="N55" s="6" t="n">
        <v>6.96</v>
      </c>
    </row>
    <row collapsed="false" customFormat="false" customHeight="false" hidden="false" ht="12.1" outlineLevel="0" r="56">
      <c r="A56" s="33" t="n">
        <v>45856</v>
      </c>
      <c r="B56" s="2" t="s">
        <v>1163</v>
      </c>
      <c r="C56" s="2" t="s">
        <v>17</v>
      </c>
      <c r="D56" s="2" t="s">
        <v>19</v>
      </c>
      <c r="E56" s="7" t="n">
        <v>180</v>
      </c>
      <c r="F56" s="2" t="s">
        <v>20</v>
      </c>
      <c r="G56" s="6" t="n">
        <v>34.84</v>
      </c>
      <c r="H56" s="6" t="n">
        <v>313.23</v>
      </c>
      <c r="I56" s="6" t="n">
        <v>238.54</v>
      </c>
      <c r="J56" s="6" t="n">
        <v>815</v>
      </c>
      <c r="K56" s="6" t="n">
        <v>6271.2</v>
      </c>
      <c r="L56" s="6" t="n">
        <v>5456.2</v>
      </c>
      <c r="M56" s="6" t="n">
        <v>12.71</v>
      </c>
      <c r="N56" s="6" t="n">
        <v>9.68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328</v>
      </c>
      <c r="B1" s="34" t="s">
        <v>1153</v>
      </c>
      <c r="C1" s="34" t="s">
        <v>0</v>
      </c>
      <c r="D1" s="34" t="s">
        <v>2</v>
      </c>
      <c r="E1" s="34" t="s">
        <v>6</v>
      </c>
      <c r="F1" s="34" t="s">
        <v>1154</v>
      </c>
      <c r="G1" s="34" t="s">
        <v>1164</v>
      </c>
      <c r="H1" s="34" t="s">
        <v>1158</v>
      </c>
      <c r="I1" s="34" t="s">
        <v>1159</v>
      </c>
      <c r="J1" s="34" t="s">
        <v>1160</v>
      </c>
    </row>
    <row collapsed="false" customFormat="false" customHeight="false" hidden="false" ht="12.1" outlineLevel="0" r="2">
      <c r="A2" s="35" t="n">
        <v>44705</v>
      </c>
      <c r="B2" s="2" t="s">
        <v>1163</v>
      </c>
      <c r="C2" s="2" t="s">
        <v>762</v>
      </c>
      <c r="D2" s="2" t="s">
        <v>1165</v>
      </c>
      <c r="E2" s="6" t="n">
        <v>750</v>
      </c>
      <c r="F2" s="7" t="n">
        <v>1</v>
      </c>
      <c r="G2" s="6" t="n">
        <v>16.08</v>
      </c>
      <c r="H2" s="6" t="n">
        <v>2</v>
      </c>
      <c r="I2" s="6" t="n">
        <v>16.08</v>
      </c>
      <c r="J2" s="6" t="n">
        <v>14.08</v>
      </c>
    </row>
    <row collapsed="false" customFormat="false" customHeight="false" hidden="false" ht="12.1" outlineLevel="0" r="3">
      <c r="A3" s="35" t="n">
        <v>44748</v>
      </c>
      <c r="B3" s="2" t="s">
        <v>1163</v>
      </c>
      <c r="C3" s="2" t="s">
        <v>320</v>
      </c>
      <c r="D3" s="2" t="s">
        <v>321</v>
      </c>
      <c r="E3" s="6" t="n">
        <v>800</v>
      </c>
      <c r="F3" s="7" t="n">
        <v>1</v>
      </c>
      <c r="G3" s="6" t="n">
        <v>27.92</v>
      </c>
      <c r="H3" s="6" t="n">
        <v>4</v>
      </c>
      <c r="I3" s="6" t="n">
        <v>27.92</v>
      </c>
      <c r="J3" s="6" t="n">
        <v>23.92</v>
      </c>
    </row>
    <row collapsed="false" customFormat="false" customHeight="false" hidden="false" ht="12.1" outlineLevel="0" r="4">
      <c r="A4" s="35" t="n">
        <v>44768</v>
      </c>
      <c r="B4" s="2" t="s">
        <v>1163</v>
      </c>
      <c r="C4" s="2" t="s">
        <v>760</v>
      </c>
      <c r="D4" s="2" t="s">
        <v>1166</v>
      </c>
      <c r="E4" s="6" t="n">
        <v>1000</v>
      </c>
      <c r="F4" s="7" t="n">
        <v>1</v>
      </c>
      <c r="G4" s="6" t="n">
        <v>29.03</v>
      </c>
      <c r="H4" s="6" t="n">
        <v>4</v>
      </c>
      <c r="I4" s="6" t="n">
        <v>29.03</v>
      </c>
      <c r="J4" s="6" t="n">
        <v>25.03</v>
      </c>
    </row>
    <row collapsed="false" customFormat="false" customHeight="false" hidden="false" ht="12.1" outlineLevel="0" r="5">
      <c r="A5" s="35" t="n">
        <v>44775</v>
      </c>
      <c r="B5" s="2" t="s">
        <v>1163</v>
      </c>
      <c r="C5" s="2" t="s">
        <v>95</v>
      </c>
      <c r="D5" s="2" t="s">
        <v>97</v>
      </c>
      <c r="E5" s="6" t="n">
        <v>1000</v>
      </c>
      <c r="F5" s="7" t="n">
        <v>1</v>
      </c>
      <c r="G5" s="6" t="n">
        <v>30.42</v>
      </c>
      <c r="H5" s="6" t="n">
        <v>4</v>
      </c>
      <c r="I5" s="6" t="n">
        <v>30.42</v>
      </c>
      <c r="J5" s="6" t="n">
        <v>26.42</v>
      </c>
    </row>
    <row collapsed="false" customFormat="false" customHeight="false" hidden="false" ht="12.1" outlineLevel="0" r="6">
      <c r="A6" s="35" t="n">
        <v>44796</v>
      </c>
      <c r="B6" s="2" t="s">
        <v>1163</v>
      </c>
      <c r="C6" s="2" t="s">
        <v>762</v>
      </c>
      <c r="D6" s="2" t="s">
        <v>1165</v>
      </c>
      <c r="E6" s="6" t="n">
        <v>750</v>
      </c>
      <c r="F6" s="7" t="n">
        <v>1</v>
      </c>
      <c r="G6" s="6" t="n">
        <v>16.08</v>
      </c>
      <c r="H6" s="6" t="n">
        <v>2</v>
      </c>
      <c r="I6" s="6" t="n">
        <v>16.08</v>
      </c>
      <c r="J6" s="6" t="n">
        <v>14.08</v>
      </c>
    </row>
    <row collapsed="false" customFormat="false" customHeight="false" hidden="false" ht="12.1" outlineLevel="0" r="7">
      <c r="A7" s="35" t="n">
        <v>44824</v>
      </c>
      <c r="B7" s="2" t="s">
        <v>1163</v>
      </c>
      <c r="C7" s="2" t="s">
        <v>117</v>
      </c>
      <c r="D7" s="2" t="s">
        <v>118</v>
      </c>
      <c r="E7" s="6" t="n">
        <v>1000</v>
      </c>
      <c r="F7" s="7" t="n">
        <v>1</v>
      </c>
      <c r="G7" s="6" t="n">
        <v>29.42</v>
      </c>
      <c r="H7" s="6" t="n">
        <v>4</v>
      </c>
      <c r="I7" s="6" t="n">
        <v>29.42</v>
      </c>
      <c r="J7" s="6" t="n">
        <v>25.42</v>
      </c>
    </row>
    <row collapsed="false" customFormat="false" customHeight="false" hidden="false" ht="12.1" outlineLevel="0" r="8">
      <c r="A8" s="35" t="n">
        <v>44839</v>
      </c>
      <c r="B8" s="2" t="s">
        <v>1163</v>
      </c>
      <c r="C8" s="2" t="s">
        <v>320</v>
      </c>
      <c r="D8" s="2" t="s">
        <v>321</v>
      </c>
      <c r="E8" s="6" t="n">
        <v>600</v>
      </c>
      <c r="F8" s="7" t="n">
        <v>1</v>
      </c>
      <c r="G8" s="6" t="n">
        <v>20.94</v>
      </c>
      <c r="H8" s="6" t="n">
        <v>3</v>
      </c>
      <c r="I8" s="6" t="n">
        <v>20.94</v>
      </c>
      <c r="J8" s="6" t="n">
        <v>17.94</v>
      </c>
    </row>
    <row collapsed="false" customFormat="false" customHeight="false" hidden="false" ht="12.1" outlineLevel="0" r="9">
      <c r="A9" s="35" t="n">
        <v>44859</v>
      </c>
      <c r="B9" s="2" t="s">
        <v>1163</v>
      </c>
      <c r="C9" s="2" t="s">
        <v>760</v>
      </c>
      <c r="D9" s="2" t="s">
        <v>1166</v>
      </c>
      <c r="E9" s="6" t="n">
        <v>1000</v>
      </c>
      <c r="F9" s="7" t="n">
        <v>1</v>
      </c>
      <c r="G9" s="6" t="n">
        <v>19.69</v>
      </c>
      <c r="H9" s="6" t="n">
        <v>3</v>
      </c>
      <c r="I9" s="6" t="n">
        <v>19.69</v>
      </c>
      <c r="J9" s="6" t="n">
        <v>16.69</v>
      </c>
    </row>
    <row collapsed="false" customFormat="false" customHeight="false" hidden="false" ht="12.1" outlineLevel="0" r="10">
      <c r="A10" s="35" t="n">
        <v>44867</v>
      </c>
      <c r="B10" s="2" t="s">
        <v>1163</v>
      </c>
      <c r="C10" s="2" t="s">
        <v>761</v>
      </c>
      <c r="D10" s="2" t="s">
        <v>1167</v>
      </c>
      <c r="E10" s="6" t="n">
        <v>1000</v>
      </c>
      <c r="F10" s="7" t="n">
        <v>1</v>
      </c>
      <c r="G10" s="6" t="n">
        <v>42.38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5" t="n">
        <v>44880</v>
      </c>
      <c r="B11" s="2" t="s">
        <v>1163</v>
      </c>
      <c r="C11" s="2" t="s">
        <v>105</v>
      </c>
      <c r="D11" s="2" t="s">
        <v>106</v>
      </c>
      <c r="E11" s="6" t="n">
        <v>1000</v>
      </c>
      <c r="F11" s="7" t="n">
        <v>1</v>
      </c>
      <c r="G11" s="6" t="n">
        <v>68.71</v>
      </c>
      <c r="H11" s="6" t="n">
        <v>9</v>
      </c>
      <c r="I11" s="6" t="n">
        <v>68.71</v>
      </c>
      <c r="J11" s="6" t="n">
        <v>59.71</v>
      </c>
    </row>
    <row collapsed="false" customFormat="false" customHeight="false" hidden="false" ht="12.1" outlineLevel="0" r="12">
      <c r="A12" s="35" t="n">
        <v>44887</v>
      </c>
      <c r="B12" s="2" t="s">
        <v>1163</v>
      </c>
      <c r="C12" s="2" t="s">
        <v>762</v>
      </c>
      <c r="D12" s="2" t="s">
        <v>1165</v>
      </c>
      <c r="E12" s="6" t="n">
        <v>750</v>
      </c>
      <c r="F12" s="7" t="n">
        <v>1</v>
      </c>
      <c r="G12" s="6" t="n">
        <v>16.08</v>
      </c>
      <c r="H12" s="6" t="n">
        <v>2</v>
      </c>
      <c r="I12" s="6" t="n">
        <v>16.08</v>
      </c>
      <c r="J12" s="6" t="n">
        <v>14.08</v>
      </c>
    </row>
    <row collapsed="false" customFormat="false" customHeight="false" hidden="false" ht="12.1" outlineLevel="0" r="13">
      <c r="A13" s="35" t="n">
        <v>44887</v>
      </c>
      <c r="B13" s="2" t="s">
        <v>1163</v>
      </c>
      <c r="C13" s="2" t="s">
        <v>135</v>
      </c>
      <c r="D13" s="2" t="s">
        <v>136</v>
      </c>
      <c r="E13" s="6" t="n">
        <v>1000</v>
      </c>
      <c r="F13" s="7" t="n">
        <v>2</v>
      </c>
      <c r="G13" s="6" t="n">
        <v>36.15</v>
      </c>
      <c r="H13" s="6" t="n">
        <v>9</v>
      </c>
      <c r="I13" s="6" t="n">
        <v>72.3</v>
      </c>
      <c r="J13" s="6" t="n">
        <v>63.3</v>
      </c>
    </row>
    <row collapsed="false" customFormat="false" customHeight="false" hidden="false" ht="12.1" outlineLevel="0" r="14">
      <c r="A14" s="35" t="n">
        <v>44896</v>
      </c>
      <c r="B14" s="2" t="s">
        <v>1163</v>
      </c>
      <c r="C14" s="2" t="s">
        <v>276</v>
      </c>
      <c r="D14" s="2" t="s">
        <v>277</v>
      </c>
      <c r="E14" s="6" t="n">
        <v>1000</v>
      </c>
      <c r="F14" s="7" t="n">
        <v>1</v>
      </c>
      <c r="G14" s="6" t="n">
        <v>24.81</v>
      </c>
      <c r="H14" s="6" t="n">
        <v>3</v>
      </c>
      <c r="I14" s="6" t="n">
        <v>24.81</v>
      </c>
      <c r="J14" s="6" t="n">
        <v>21.81</v>
      </c>
    </row>
    <row collapsed="false" customFormat="false" customHeight="false" hidden="false" ht="12.1" outlineLevel="0" r="15">
      <c r="A15" s="35" t="n">
        <v>44901</v>
      </c>
      <c r="B15" s="2" t="s">
        <v>1163</v>
      </c>
      <c r="C15" s="2" t="s">
        <v>306</v>
      </c>
      <c r="D15" s="2" t="s">
        <v>307</v>
      </c>
      <c r="E15" s="6" t="n">
        <v>1000</v>
      </c>
      <c r="F15" s="7" t="n">
        <v>1</v>
      </c>
      <c r="G15" s="6" t="n">
        <v>19.87</v>
      </c>
      <c r="H15" s="6" t="n">
        <v>3</v>
      </c>
      <c r="I15" s="6" t="n">
        <v>19.87</v>
      </c>
      <c r="J15" s="6" t="n">
        <v>16.87</v>
      </c>
    </row>
    <row collapsed="false" customFormat="false" customHeight="false" hidden="false" ht="12.1" outlineLevel="0" r="16">
      <c r="A16" s="35" t="n">
        <v>44915</v>
      </c>
      <c r="B16" s="2" t="s">
        <v>1163</v>
      </c>
      <c r="C16" s="2" t="s">
        <v>99</v>
      </c>
      <c r="D16" s="2" t="s">
        <v>100</v>
      </c>
      <c r="E16" s="6" t="n">
        <v>1000</v>
      </c>
      <c r="F16" s="7" t="n">
        <v>2</v>
      </c>
      <c r="G16" s="6" t="n">
        <v>72.95</v>
      </c>
      <c r="H16" s="6" t="n">
        <v>19</v>
      </c>
      <c r="I16" s="6" t="n">
        <v>145.9</v>
      </c>
      <c r="J16" s="6" t="n">
        <v>126.9</v>
      </c>
    </row>
    <row collapsed="false" customFormat="false" customHeight="false" hidden="false" ht="12.1" outlineLevel="0" r="17">
      <c r="A17" s="35" t="n">
        <v>44930</v>
      </c>
      <c r="B17" s="2" t="s">
        <v>1163</v>
      </c>
      <c r="C17" s="2" t="s">
        <v>320</v>
      </c>
      <c r="D17" s="2" t="s">
        <v>321</v>
      </c>
      <c r="E17" s="6" t="n">
        <v>600</v>
      </c>
      <c r="F17" s="7" t="n">
        <v>1</v>
      </c>
      <c r="G17" s="6" t="n">
        <v>20.94</v>
      </c>
      <c r="H17" s="6" t="n">
        <v>3</v>
      </c>
      <c r="I17" s="6" t="n">
        <v>20.94</v>
      </c>
      <c r="J17" s="6" t="n">
        <v>17.94</v>
      </c>
    </row>
    <row collapsed="false" customFormat="false" customHeight="false" hidden="false" ht="12.1" outlineLevel="0" r="18">
      <c r="A18" s="35" t="n">
        <v>44950</v>
      </c>
      <c r="B18" s="2" t="s">
        <v>1163</v>
      </c>
      <c r="C18" s="2" t="s">
        <v>760</v>
      </c>
      <c r="D18" s="2" t="s">
        <v>1166</v>
      </c>
      <c r="E18" s="6" t="n">
        <v>1000</v>
      </c>
      <c r="F18" s="7" t="n">
        <v>1</v>
      </c>
      <c r="G18" s="6" t="n">
        <v>18.31</v>
      </c>
      <c r="H18" s="6" t="n">
        <v>2</v>
      </c>
      <c r="I18" s="6" t="n">
        <v>18.31</v>
      </c>
      <c r="J18" s="6" t="n">
        <v>16.31</v>
      </c>
    </row>
    <row collapsed="false" customFormat="false" customHeight="false" hidden="false" ht="12.1" outlineLevel="0" r="19">
      <c r="A19" s="35" t="n">
        <v>44956</v>
      </c>
      <c r="B19" s="2" t="s">
        <v>1163</v>
      </c>
      <c r="C19" s="2" t="s">
        <v>291</v>
      </c>
      <c r="D19" s="2" t="s">
        <v>292</v>
      </c>
      <c r="E19" s="6" t="n">
        <v>1000</v>
      </c>
      <c r="F19" s="7" t="n">
        <v>1</v>
      </c>
      <c r="G19" s="6" t="n">
        <v>28.22</v>
      </c>
      <c r="H19" s="6" t="n">
        <v>4</v>
      </c>
      <c r="I19" s="6" t="n">
        <v>28.22</v>
      </c>
      <c r="J19" s="6" t="n">
        <v>24.22</v>
      </c>
    </row>
    <row collapsed="false" customFormat="false" customHeight="false" hidden="false" ht="12.1" outlineLevel="0" r="20">
      <c r="A20" s="35" t="n">
        <v>44957</v>
      </c>
      <c r="B20" s="2" t="s">
        <v>1163</v>
      </c>
      <c r="C20" s="2" t="s">
        <v>765</v>
      </c>
      <c r="D20" s="2" t="s">
        <v>1168</v>
      </c>
      <c r="E20" s="6" t="n">
        <v>1000</v>
      </c>
      <c r="F20" s="7" t="n">
        <v>1</v>
      </c>
      <c r="G20" s="6" t="n">
        <v>71.9</v>
      </c>
      <c r="H20" s="6" t="n">
        <v>9</v>
      </c>
      <c r="I20" s="6" t="n">
        <v>71.9</v>
      </c>
      <c r="J20" s="6" t="n">
        <v>62.9</v>
      </c>
    </row>
    <row collapsed="false" customFormat="false" customHeight="false" hidden="false" ht="12.1" outlineLevel="0" r="21">
      <c r="A21" s="35" t="n">
        <v>44957</v>
      </c>
      <c r="B21" s="2" t="s">
        <v>1163</v>
      </c>
      <c r="C21" s="2" t="s">
        <v>95</v>
      </c>
      <c r="D21" s="2" t="s">
        <v>97</v>
      </c>
      <c r="E21" s="6" t="n">
        <v>1000</v>
      </c>
      <c r="F21" s="7" t="n">
        <v>2</v>
      </c>
      <c r="G21" s="6" t="n">
        <v>30.42</v>
      </c>
      <c r="H21" s="6" t="n">
        <v>8</v>
      </c>
      <c r="I21" s="6" t="n">
        <v>60.84</v>
      </c>
      <c r="J21" s="6" t="n">
        <v>52.84</v>
      </c>
    </row>
    <row collapsed="false" customFormat="false" customHeight="false" hidden="false" ht="12.1" outlineLevel="0" r="22">
      <c r="A22" s="35" t="n">
        <v>44960</v>
      </c>
      <c r="B22" s="2" t="s">
        <v>1163</v>
      </c>
      <c r="C22" s="2" t="s">
        <v>252</v>
      </c>
      <c r="D22" s="2" t="s">
        <v>253</v>
      </c>
      <c r="E22" s="6" t="n">
        <v>1000</v>
      </c>
      <c r="F22" s="7" t="n">
        <v>1</v>
      </c>
      <c r="G22" s="6" t="n">
        <v>61.86</v>
      </c>
      <c r="H22" s="6" t="n">
        <v>8</v>
      </c>
      <c r="I22" s="6" t="n">
        <v>61.86</v>
      </c>
      <c r="J22" s="6" t="n">
        <v>53.86</v>
      </c>
    </row>
    <row collapsed="false" customFormat="false" customHeight="false" hidden="false" ht="12.1" outlineLevel="0" r="23">
      <c r="A23" s="35" t="n">
        <v>44971</v>
      </c>
      <c r="B23" s="2" t="s">
        <v>1163</v>
      </c>
      <c r="C23" s="2" t="s">
        <v>108</v>
      </c>
      <c r="D23" s="2" t="s">
        <v>109</v>
      </c>
      <c r="E23" s="6" t="n">
        <v>1000</v>
      </c>
      <c r="F23" s="7" t="n">
        <v>2</v>
      </c>
      <c r="G23" s="6" t="n">
        <v>34.9</v>
      </c>
      <c r="H23" s="6" t="n">
        <v>9</v>
      </c>
      <c r="I23" s="6" t="n">
        <v>69.8</v>
      </c>
      <c r="J23" s="6" t="n">
        <v>60.8</v>
      </c>
    </row>
    <row collapsed="false" customFormat="false" customHeight="false" hidden="false" ht="12.1" outlineLevel="0" r="24">
      <c r="A24" s="35" t="n">
        <v>44978</v>
      </c>
      <c r="B24" s="2" t="s">
        <v>1163</v>
      </c>
      <c r="C24" s="2" t="s">
        <v>762</v>
      </c>
      <c r="D24" s="2" t="s">
        <v>1165</v>
      </c>
      <c r="E24" s="6" t="n">
        <v>500</v>
      </c>
      <c r="F24" s="7" t="n">
        <v>1</v>
      </c>
      <c r="G24" s="6" t="n">
        <v>10.72</v>
      </c>
      <c r="H24" s="6" t="n">
        <v>1</v>
      </c>
      <c r="I24" s="6" t="n">
        <v>10.72</v>
      </c>
      <c r="J24" s="6" t="n">
        <v>9.72</v>
      </c>
    </row>
    <row collapsed="false" customFormat="false" customHeight="false" hidden="false" ht="12.1" outlineLevel="0" r="25">
      <c r="A25" s="35" t="n">
        <v>44987</v>
      </c>
      <c r="B25" s="2" t="s">
        <v>1163</v>
      </c>
      <c r="C25" s="2" t="s">
        <v>276</v>
      </c>
      <c r="D25" s="2" t="s">
        <v>277</v>
      </c>
      <c r="E25" s="6" t="n">
        <v>1000</v>
      </c>
      <c r="F25" s="7" t="n">
        <v>1</v>
      </c>
      <c r="G25" s="6" t="n">
        <v>24.81</v>
      </c>
      <c r="H25" s="6" t="n">
        <v>3</v>
      </c>
      <c r="I25" s="6" t="n">
        <v>24.81</v>
      </c>
      <c r="J25" s="6" t="n">
        <v>21.81</v>
      </c>
    </row>
    <row collapsed="false" customFormat="false" customHeight="false" hidden="false" ht="12.1" outlineLevel="0" r="26">
      <c r="A26" s="35" t="n">
        <v>44992</v>
      </c>
      <c r="B26" s="2" t="s">
        <v>1163</v>
      </c>
      <c r="C26" s="2" t="s">
        <v>225</v>
      </c>
      <c r="D26" s="2" t="s">
        <v>226</v>
      </c>
      <c r="E26" s="6" t="n">
        <v>1000</v>
      </c>
      <c r="F26" s="7" t="n">
        <v>1</v>
      </c>
      <c r="G26" s="6" t="n">
        <v>69.51</v>
      </c>
      <c r="H26" s="6" t="n">
        <v>9</v>
      </c>
      <c r="I26" s="6" t="n">
        <v>69.51</v>
      </c>
      <c r="J26" s="6" t="n">
        <v>60.51</v>
      </c>
    </row>
    <row collapsed="false" customFormat="false" customHeight="false" hidden="false" ht="12.1" outlineLevel="0" r="27">
      <c r="A27" s="35" t="n">
        <v>44992</v>
      </c>
      <c r="B27" s="2" t="s">
        <v>1163</v>
      </c>
      <c r="C27" s="2" t="s">
        <v>306</v>
      </c>
      <c r="D27" s="2" t="s">
        <v>307</v>
      </c>
      <c r="E27" s="6" t="n">
        <v>1000</v>
      </c>
      <c r="F27" s="7" t="n">
        <v>1</v>
      </c>
      <c r="G27" s="6" t="n">
        <v>19.87</v>
      </c>
      <c r="H27" s="6" t="n">
        <v>3</v>
      </c>
      <c r="I27" s="6" t="n">
        <v>19.87</v>
      </c>
      <c r="J27" s="6" t="n">
        <v>16.87</v>
      </c>
    </row>
    <row collapsed="false" customFormat="false" customHeight="false" hidden="false" ht="12.1" outlineLevel="0" r="28">
      <c r="A28" s="35" t="n">
        <v>45005</v>
      </c>
      <c r="B28" s="2" t="s">
        <v>1163</v>
      </c>
      <c r="C28" s="2" t="s">
        <v>279</v>
      </c>
      <c r="D28" s="2" t="s">
        <v>280</v>
      </c>
      <c r="E28" s="6" t="n">
        <v>1000</v>
      </c>
      <c r="F28" s="7" t="n">
        <v>1</v>
      </c>
      <c r="G28" s="6" t="n">
        <v>39.39</v>
      </c>
      <c r="H28" s="6" t="n">
        <v>5</v>
      </c>
      <c r="I28" s="6" t="n">
        <v>39.39</v>
      </c>
      <c r="J28" s="6" t="n">
        <v>34.39</v>
      </c>
    </row>
    <row collapsed="false" customFormat="false" customHeight="false" hidden="false" ht="12.1" outlineLevel="0" r="29">
      <c r="A29" s="35" t="n">
        <v>45006</v>
      </c>
      <c r="B29" s="2" t="s">
        <v>1163</v>
      </c>
      <c r="C29" s="2" t="s">
        <v>117</v>
      </c>
      <c r="D29" s="2" t="s">
        <v>118</v>
      </c>
      <c r="E29" s="6" t="n">
        <v>1000</v>
      </c>
      <c r="F29" s="7" t="n">
        <v>2</v>
      </c>
      <c r="G29" s="6" t="n">
        <v>29.42</v>
      </c>
      <c r="H29" s="6" t="n">
        <v>8</v>
      </c>
      <c r="I29" s="6" t="n">
        <v>58.84</v>
      </c>
      <c r="J29" s="6" t="n">
        <v>50.84</v>
      </c>
    </row>
    <row collapsed="false" customFormat="false" customHeight="false" hidden="false" ht="12.1" outlineLevel="0" r="30">
      <c r="A30" s="35" t="n">
        <v>45013</v>
      </c>
      <c r="B30" s="2" t="s">
        <v>1163</v>
      </c>
      <c r="C30" s="2" t="s">
        <v>153</v>
      </c>
      <c r="D30" s="2" t="s">
        <v>154</v>
      </c>
      <c r="E30" s="6" t="n">
        <v>1000</v>
      </c>
      <c r="F30" s="7" t="n">
        <v>1</v>
      </c>
      <c r="G30" s="6" t="n">
        <v>14.58</v>
      </c>
      <c r="H30" s="6" t="n">
        <v>2</v>
      </c>
      <c r="I30" s="6" t="n">
        <v>14.58</v>
      </c>
      <c r="J30" s="6" t="n">
        <v>12.58</v>
      </c>
    </row>
    <row collapsed="false" customFormat="false" customHeight="false" hidden="false" ht="12.1" outlineLevel="0" r="31">
      <c r="A31" s="35" t="n">
        <v>45020</v>
      </c>
      <c r="B31" s="2" t="s">
        <v>1163</v>
      </c>
      <c r="C31" s="2" t="s">
        <v>132</v>
      </c>
      <c r="D31" s="2" t="s">
        <v>133</v>
      </c>
      <c r="E31" s="6" t="n">
        <v>1000</v>
      </c>
      <c r="F31" s="7" t="n">
        <v>1</v>
      </c>
      <c r="G31" s="6" t="n">
        <v>38.39</v>
      </c>
      <c r="H31" s="6" t="n">
        <v>5</v>
      </c>
      <c r="I31" s="6" t="n">
        <v>38.39</v>
      </c>
      <c r="J31" s="6" t="n">
        <v>33.39</v>
      </c>
    </row>
    <row collapsed="false" customFormat="false" customHeight="false" hidden="false" ht="12.1" outlineLevel="0" r="32">
      <c r="A32" s="35" t="n">
        <v>45020</v>
      </c>
      <c r="B32" s="2" t="s">
        <v>1163</v>
      </c>
      <c r="C32" s="2" t="s">
        <v>111</v>
      </c>
      <c r="D32" s="2" t="s">
        <v>112</v>
      </c>
      <c r="E32" s="6" t="n">
        <v>1000</v>
      </c>
      <c r="F32" s="7" t="n">
        <v>3</v>
      </c>
      <c r="G32" s="6" t="n">
        <v>38.39</v>
      </c>
      <c r="H32" s="6" t="n">
        <v>15</v>
      </c>
      <c r="I32" s="6" t="n">
        <v>115.17</v>
      </c>
      <c r="J32" s="6" t="n">
        <v>100.17</v>
      </c>
    </row>
    <row collapsed="false" customFormat="false" customHeight="false" hidden="false" ht="12.1" outlineLevel="0" r="33">
      <c r="A33" s="35" t="n">
        <v>45021</v>
      </c>
      <c r="B33" s="2" t="s">
        <v>1163</v>
      </c>
      <c r="C33" s="2" t="s">
        <v>320</v>
      </c>
      <c r="D33" s="2" t="s">
        <v>321</v>
      </c>
      <c r="E33" s="6" t="n">
        <v>600</v>
      </c>
      <c r="F33" s="7" t="n">
        <v>1</v>
      </c>
      <c r="G33" s="6" t="n">
        <v>20.94</v>
      </c>
      <c r="H33" s="6" t="n">
        <v>3</v>
      </c>
      <c r="I33" s="6" t="n">
        <v>20.94</v>
      </c>
      <c r="J33" s="6" t="n">
        <v>17.94</v>
      </c>
    </row>
    <row collapsed="false" customFormat="false" customHeight="false" hidden="false" ht="12.1" outlineLevel="0" r="34">
      <c r="A34" s="35" t="n">
        <v>45027</v>
      </c>
      <c r="B34" s="2" t="s">
        <v>1163</v>
      </c>
      <c r="C34" s="2" t="s">
        <v>141</v>
      </c>
      <c r="D34" s="2" t="s">
        <v>142</v>
      </c>
      <c r="E34" s="6" t="n">
        <v>1000</v>
      </c>
      <c r="F34" s="7" t="n">
        <v>2</v>
      </c>
      <c r="G34" s="6" t="n">
        <v>58.34</v>
      </c>
      <c r="H34" s="6" t="n">
        <v>15</v>
      </c>
      <c r="I34" s="6" t="n">
        <v>116.68</v>
      </c>
      <c r="J34" s="6" t="n">
        <v>101.68</v>
      </c>
    </row>
    <row collapsed="false" customFormat="false" customHeight="false" hidden="false" ht="12.1" outlineLevel="0" r="35">
      <c r="A35" s="35" t="n">
        <v>45041</v>
      </c>
      <c r="B35" s="2" t="s">
        <v>1163</v>
      </c>
      <c r="C35" s="2" t="s">
        <v>760</v>
      </c>
      <c r="D35" s="2" t="s">
        <v>1166</v>
      </c>
      <c r="E35" s="6" t="n">
        <v>1000</v>
      </c>
      <c r="F35" s="7" t="n">
        <v>1</v>
      </c>
      <c r="G35" s="6" t="n">
        <v>17.98</v>
      </c>
      <c r="H35" s="6" t="n">
        <v>2</v>
      </c>
      <c r="I35" s="6" t="n">
        <v>17.98</v>
      </c>
      <c r="J35" s="6" t="n">
        <v>15.98</v>
      </c>
    </row>
    <row collapsed="false" customFormat="false" customHeight="false" hidden="false" ht="12.1" outlineLevel="0" r="36">
      <c r="A36" s="35" t="n">
        <v>45047</v>
      </c>
      <c r="B36" s="2" t="s">
        <v>1163</v>
      </c>
      <c r="C36" s="2" t="s">
        <v>291</v>
      </c>
      <c r="D36" s="2" t="s">
        <v>292</v>
      </c>
      <c r="E36" s="6" t="n">
        <v>1000</v>
      </c>
      <c r="F36" s="7" t="n">
        <v>1</v>
      </c>
      <c r="G36" s="6" t="n">
        <v>28.22</v>
      </c>
      <c r="H36" s="6" t="n">
        <v>4</v>
      </c>
      <c r="I36" s="6" t="n">
        <v>28.22</v>
      </c>
      <c r="J36" s="6" t="n">
        <v>24.22</v>
      </c>
    </row>
    <row collapsed="false" customFormat="false" customHeight="false" hidden="false" ht="12.1" outlineLevel="0" r="37">
      <c r="A37" s="35" t="n">
        <v>45049</v>
      </c>
      <c r="B37" s="2" t="s">
        <v>1163</v>
      </c>
      <c r="C37" s="2" t="s">
        <v>761</v>
      </c>
      <c r="D37" s="2" t="s">
        <v>1167</v>
      </c>
      <c r="E37" s="6" t="n">
        <v>1000</v>
      </c>
      <c r="F37" s="7" t="n">
        <v>1</v>
      </c>
      <c r="G37" s="6" t="n">
        <v>42.38</v>
      </c>
      <c r="H37" s="6" t="n">
        <v>6</v>
      </c>
      <c r="I37" s="6" t="n">
        <v>42.38</v>
      </c>
      <c r="J37" s="6" t="n">
        <v>36.38</v>
      </c>
    </row>
    <row collapsed="false" customFormat="false" customHeight="false" hidden="false" ht="12.1" outlineLevel="0" r="38">
      <c r="A38" s="35" t="n">
        <v>45062</v>
      </c>
      <c r="B38" s="2" t="s">
        <v>1163</v>
      </c>
      <c r="C38" s="2" t="s">
        <v>105</v>
      </c>
      <c r="D38" s="2" t="s">
        <v>106</v>
      </c>
      <c r="E38" s="6" t="n">
        <v>1000</v>
      </c>
      <c r="F38" s="7" t="n">
        <v>3</v>
      </c>
      <c r="G38" s="6" t="n">
        <v>51.21</v>
      </c>
      <c r="H38" s="6" t="n">
        <v>20</v>
      </c>
      <c r="I38" s="6" t="n">
        <v>153.63</v>
      </c>
      <c r="J38" s="6" t="n">
        <v>133.63</v>
      </c>
    </row>
    <row collapsed="false" customFormat="false" customHeight="false" hidden="false" ht="12.1" outlineLevel="0" r="39">
      <c r="A39" s="35" t="n">
        <v>45067</v>
      </c>
      <c r="B39" s="2" t="s">
        <v>1163</v>
      </c>
      <c r="C39" s="2" t="s">
        <v>766</v>
      </c>
      <c r="D39" s="2" t="s">
        <v>1169</v>
      </c>
      <c r="E39" s="6" t="n">
        <v>1000</v>
      </c>
      <c r="F39" s="7" t="n">
        <v>1</v>
      </c>
      <c r="G39" s="6" t="n">
        <v>32.41</v>
      </c>
      <c r="H39" s="6" t="n">
        <v>4</v>
      </c>
      <c r="I39" s="6" t="n">
        <v>32.41</v>
      </c>
      <c r="J39" s="6" t="n">
        <v>28.41</v>
      </c>
    </row>
    <row collapsed="false" customFormat="false" customHeight="false" hidden="false" ht="12.1" outlineLevel="0" r="40">
      <c r="A40" s="35" t="n">
        <v>45069</v>
      </c>
      <c r="B40" s="2" t="s">
        <v>1163</v>
      </c>
      <c r="C40" s="2" t="s">
        <v>762</v>
      </c>
      <c r="D40" s="2" t="s">
        <v>1165</v>
      </c>
      <c r="E40" s="6" t="n">
        <v>500</v>
      </c>
      <c r="F40" s="7" t="n">
        <v>1</v>
      </c>
      <c r="G40" s="6" t="n">
        <v>10.72</v>
      </c>
      <c r="H40" s="6" t="n">
        <v>1</v>
      </c>
      <c r="I40" s="6" t="n">
        <v>10.72</v>
      </c>
      <c r="J40" s="6" t="n">
        <v>9.72</v>
      </c>
    </row>
    <row collapsed="false" customFormat="false" customHeight="false" hidden="false" ht="12.1" outlineLevel="0" r="41">
      <c r="A41" s="35" t="n">
        <v>45069</v>
      </c>
      <c r="B41" s="2" t="s">
        <v>1163</v>
      </c>
      <c r="C41" s="2" t="s">
        <v>135</v>
      </c>
      <c r="D41" s="2" t="s">
        <v>136</v>
      </c>
      <c r="E41" s="6" t="n">
        <v>1000</v>
      </c>
      <c r="F41" s="7" t="n">
        <v>3</v>
      </c>
      <c r="G41" s="6" t="n">
        <v>36.15</v>
      </c>
      <c r="H41" s="6" t="n">
        <v>14</v>
      </c>
      <c r="I41" s="6" t="n">
        <v>108.45</v>
      </c>
      <c r="J41" s="6" t="n">
        <v>94.45</v>
      </c>
    </row>
    <row collapsed="false" customFormat="false" customHeight="false" hidden="false" ht="12.1" outlineLevel="0" r="42">
      <c r="A42" s="35" t="n">
        <v>45070</v>
      </c>
      <c r="B42" s="2" t="s">
        <v>1163</v>
      </c>
      <c r="C42" s="2" t="s">
        <v>311</v>
      </c>
      <c r="D42" s="2" t="s">
        <v>312</v>
      </c>
      <c r="E42" s="6" t="n">
        <v>625</v>
      </c>
      <c r="F42" s="7" t="n">
        <v>1</v>
      </c>
      <c r="G42" s="6" t="n">
        <v>10.83</v>
      </c>
      <c r="H42" s="6" t="n">
        <v>1</v>
      </c>
      <c r="I42" s="6" t="n">
        <v>10.83</v>
      </c>
      <c r="J42" s="6" t="n">
        <v>9.83</v>
      </c>
    </row>
    <row collapsed="false" customFormat="false" customHeight="false" hidden="false" ht="12.1" outlineLevel="0" r="43">
      <c r="A43" s="35" t="n">
        <v>45078</v>
      </c>
      <c r="B43" s="2" t="s">
        <v>1163</v>
      </c>
      <c r="C43" s="2" t="s">
        <v>276</v>
      </c>
      <c r="D43" s="2" t="s">
        <v>277</v>
      </c>
      <c r="E43" s="6" t="n">
        <v>1000</v>
      </c>
      <c r="F43" s="7" t="n">
        <v>1</v>
      </c>
      <c r="G43" s="6" t="n">
        <v>24.81</v>
      </c>
      <c r="H43" s="6" t="n">
        <v>3</v>
      </c>
      <c r="I43" s="6" t="n">
        <v>24.81</v>
      </c>
      <c r="J43" s="6" t="n">
        <v>21.81</v>
      </c>
    </row>
    <row collapsed="false" customFormat="false" customHeight="false" hidden="false" ht="12.1" outlineLevel="0" r="44">
      <c r="A44" s="35" t="n">
        <v>45083</v>
      </c>
      <c r="B44" s="2" t="s">
        <v>1163</v>
      </c>
      <c r="C44" s="2" t="s">
        <v>186</v>
      </c>
      <c r="D44" s="2" t="s">
        <v>187</v>
      </c>
      <c r="E44" s="6" t="n">
        <v>1000</v>
      </c>
      <c r="F44" s="7" t="n">
        <v>1</v>
      </c>
      <c r="G44" s="6" t="n">
        <v>32.66</v>
      </c>
      <c r="H44" s="6" t="n">
        <v>4</v>
      </c>
      <c r="I44" s="6" t="n">
        <v>32.66</v>
      </c>
      <c r="J44" s="6" t="n">
        <v>28.66</v>
      </c>
    </row>
    <row collapsed="false" customFormat="false" customHeight="false" hidden="false" ht="12.1" outlineLevel="0" r="45">
      <c r="A45" s="35" t="n">
        <v>45083</v>
      </c>
      <c r="B45" s="2" t="s">
        <v>1163</v>
      </c>
      <c r="C45" s="2" t="s">
        <v>102</v>
      </c>
      <c r="D45" s="2" t="s">
        <v>103</v>
      </c>
      <c r="E45" s="6" t="n">
        <v>1000</v>
      </c>
      <c r="F45" s="7" t="n">
        <v>4</v>
      </c>
      <c r="G45" s="6" t="n">
        <v>35.4</v>
      </c>
      <c r="H45" s="6" t="n">
        <v>18</v>
      </c>
      <c r="I45" s="6" t="n">
        <v>141.6</v>
      </c>
      <c r="J45" s="6" t="n">
        <v>123.6</v>
      </c>
    </row>
    <row collapsed="false" customFormat="false" customHeight="false" hidden="false" ht="12.1" outlineLevel="0" r="46">
      <c r="A46" s="35" t="n">
        <v>45083</v>
      </c>
      <c r="B46" s="2" t="s">
        <v>1163</v>
      </c>
      <c r="C46" s="2" t="s">
        <v>306</v>
      </c>
      <c r="D46" s="2" t="s">
        <v>307</v>
      </c>
      <c r="E46" s="6" t="n">
        <v>1000</v>
      </c>
      <c r="F46" s="7" t="n">
        <v>1</v>
      </c>
      <c r="G46" s="6" t="n">
        <v>19.87</v>
      </c>
      <c r="H46" s="6" t="n">
        <v>3</v>
      </c>
      <c r="I46" s="6" t="n">
        <v>19.87</v>
      </c>
      <c r="J46" s="6" t="n">
        <v>16.87</v>
      </c>
    </row>
    <row collapsed="false" customFormat="false" customHeight="false" hidden="false" ht="12.1" outlineLevel="0" r="47">
      <c r="A47" s="35" t="n">
        <v>45089</v>
      </c>
      <c r="B47" s="2" t="s">
        <v>1163</v>
      </c>
      <c r="C47" s="2" t="s">
        <v>288</v>
      </c>
      <c r="D47" s="2" t="s">
        <v>289</v>
      </c>
      <c r="E47" s="6" t="n">
        <v>930</v>
      </c>
      <c r="F47" s="7" t="n">
        <v>1</v>
      </c>
      <c r="G47" s="6" t="n">
        <v>31.3</v>
      </c>
      <c r="H47" s="6" t="n">
        <v>4</v>
      </c>
      <c r="I47" s="6" t="n">
        <v>31.3</v>
      </c>
      <c r="J47" s="6" t="n">
        <v>27.3</v>
      </c>
    </row>
    <row collapsed="false" customFormat="false" customHeight="false" hidden="false" ht="12.1" outlineLevel="0" r="48">
      <c r="A48" s="35" t="n">
        <v>45097</v>
      </c>
      <c r="B48" s="2" t="s">
        <v>1163</v>
      </c>
      <c r="C48" s="2" t="s">
        <v>99</v>
      </c>
      <c r="D48" s="2" t="s">
        <v>100</v>
      </c>
      <c r="E48" s="6" t="n">
        <v>1000</v>
      </c>
      <c r="F48" s="7" t="n">
        <v>3</v>
      </c>
      <c r="G48" s="6" t="n">
        <v>47.52</v>
      </c>
      <c r="H48" s="6" t="n">
        <v>19</v>
      </c>
      <c r="I48" s="6" t="n">
        <v>142.56</v>
      </c>
      <c r="J48" s="6" t="n">
        <v>123.56</v>
      </c>
    </row>
    <row collapsed="false" customFormat="false" customHeight="false" hidden="false" ht="12.1" outlineLevel="0" r="49">
      <c r="A49" s="35" t="n">
        <v>45112</v>
      </c>
      <c r="B49" s="2" t="s">
        <v>1163</v>
      </c>
      <c r="C49" s="2" t="s">
        <v>320</v>
      </c>
      <c r="D49" s="2" t="s">
        <v>321</v>
      </c>
      <c r="E49" s="6" t="n">
        <v>600</v>
      </c>
      <c r="F49" s="7" t="n">
        <v>1</v>
      </c>
      <c r="G49" s="6" t="n">
        <v>20.94</v>
      </c>
      <c r="H49" s="6" t="n">
        <v>3</v>
      </c>
      <c r="I49" s="6" t="n">
        <v>20.94</v>
      </c>
      <c r="J49" s="6" t="n">
        <v>17.94</v>
      </c>
    </row>
    <row collapsed="false" customFormat="false" customHeight="false" hidden="false" ht="12.1" outlineLevel="0" r="50">
      <c r="A50" s="35" t="n">
        <v>45132</v>
      </c>
      <c r="B50" s="2" t="s">
        <v>1163</v>
      </c>
      <c r="C50" s="2" t="s">
        <v>760</v>
      </c>
      <c r="D50" s="2" t="s">
        <v>1166</v>
      </c>
      <c r="E50" s="6" t="n">
        <v>1000</v>
      </c>
      <c r="F50" s="7" t="n">
        <v>1</v>
      </c>
      <c r="G50" s="6" t="n">
        <v>18.18</v>
      </c>
      <c r="H50" s="6" t="n">
        <v>2</v>
      </c>
      <c r="I50" s="6" t="n">
        <v>18.18</v>
      </c>
      <c r="J50" s="6" t="n">
        <v>16.18</v>
      </c>
    </row>
    <row collapsed="false" customFormat="false" customHeight="false" hidden="false" ht="12.1" outlineLevel="0" r="51">
      <c r="A51" s="35" t="n">
        <v>45132</v>
      </c>
      <c r="B51" s="2" t="s">
        <v>1163</v>
      </c>
      <c r="C51" s="2" t="s">
        <v>270</v>
      </c>
      <c r="D51" s="2" t="s">
        <v>271</v>
      </c>
      <c r="E51" s="6" t="n">
        <v>1000</v>
      </c>
      <c r="F51" s="7" t="n">
        <v>1</v>
      </c>
      <c r="G51" s="6" t="n">
        <v>43.38</v>
      </c>
      <c r="H51" s="6" t="n">
        <v>6</v>
      </c>
      <c r="I51" s="6" t="n">
        <v>43.38</v>
      </c>
      <c r="J51" s="6" t="n">
        <v>37.38</v>
      </c>
    </row>
    <row collapsed="false" customFormat="false" customHeight="false" hidden="false" ht="12.1" outlineLevel="0" r="52">
      <c r="A52" s="35" t="n">
        <v>45138</v>
      </c>
      <c r="B52" s="2" t="s">
        <v>1163</v>
      </c>
      <c r="C52" s="2" t="s">
        <v>291</v>
      </c>
      <c r="D52" s="2" t="s">
        <v>292</v>
      </c>
      <c r="E52" s="6" t="n">
        <v>1000</v>
      </c>
      <c r="F52" s="7" t="n">
        <v>1</v>
      </c>
      <c r="G52" s="6" t="n">
        <v>28.22</v>
      </c>
      <c r="H52" s="6" t="n">
        <v>4</v>
      </c>
      <c r="I52" s="6" t="n">
        <v>28.22</v>
      </c>
      <c r="J52" s="6" t="n">
        <v>24.22</v>
      </c>
    </row>
    <row collapsed="false" customFormat="false" customHeight="false" hidden="false" ht="12.1" outlineLevel="0" r="53">
      <c r="A53" s="35" t="n">
        <v>45139</v>
      </c>
      <c r="B53" s="2" t="s">
        <v>1163</v>
      </c>
      <c r="C53" s="2" t="s">
        <v>765</v>
      </c>
      <c r="D53" s="2" t="s">
        <v>1168</v>
      </c>
      <c r="E53" s="6" t="n">
        <v>1000</v>
      </c>
      <c r="F53" s="7" t="n">
        <v>1</v>
      </c>
      <c r="G53" s="6" t="n">
        <v>43.53</v>
      </c>
      <c r="H53" s="6" t="n">
        <v>6</v>
      </c>
      <c r="I53" s="6" t="n">
        <v>43.53</v>
      </c>
      <c r="J53" s="6" t="n">
        <v>37.53</v>
      </c>
    </row>
    <row collapsed="false" customFormat="false" customHeight="false" hidden="false" ht="12.1" outlineLevel="0" r="54">
      <c r="A54" s="35" t="n">
        <v>45139</v>
      </c>
      <c r="B54" s="2" t="s">
        <v>1163</v>
      </c>
      <c r="C54" s="2" t="s">
        <v>95</v>
      </c>
      <c r="D54" s="2" t="s">
        <v>97</v>
      </c>
      <c r="E54" s="6" t="n">
        <v>1000</v>
      </c>
      <c r="F54" s="7" t="n">
        <v>10</v>
      </c>
      <c r="G54" s="6" t="n">
        <v>30.42</v>
      </c>
      <c r="H54" s="6" t="n">
        <v>40</v>
      </c>
      <c r="I54" s="6" t="n">
        <v>304.2</v>
      </c>
      <c r="J54" s="6" t="n">
        <v>264.2</v>
      </c>
    </row>
    <row collapsed="false" customFormat="false" customHeight="false" hidden="false" ht="12.1" outlineLevel="0" r="55">
      <c r="A55" s="35" t="n">
        <v>45142</v>
      </c>
      <c r="B55" s="2" t="s">
        <v>1163</v>
      </c>
      <c r="C55" s="2" t="s">
        <v>252</v>
      </c>
      <c r="D55" s="2" t="s">
        <v>253</v>
      </c>
      <c r="E55" s="6" t="n">
        <v>1000</v>
      </c>
      <c r="F55" s="7" t="n">
        <v>1</v>
      </c>
      <c r="G55" s="6" t="n">
        <v>53.1</v>
      </c>
      <c r="H55" s="6" t="n">
        <v>7</v>
      </c>
      <c r="I55" s="6" t="n">
        <v>53.1</v>
      </c>
      <c r="J55" s="6" t="n">
        <v>46.1</v>
      </c>
    </row>
    <row collapsed="false" customFormat="false" customHeight="false" hidden="false" ht="12.1" outlineLevel="0" r="56">
      <c r="A56" s="35" t="n">
        <v>45153</v>
      </c>
      <c r="B56" s="2" t="s">
        <v>1163</v>
      </c>
      <c r="C56" s="2" t="s">
        <v>108</v>
      </c>
      <c r="D56" s="2" t="s">
        <v>109</v>
      </c>
      <c r="E56" s="6" t="n">
        <v>1000</v>
      </c>
      <c r="F56" s="7" t="n">
        <v>7</v>
      </c>
      <c r="G56" s="6" t="n">
        <v>34.9</v>
      </c>
      <c r="H56" s="6" t="n">
        <v>32</v>
      </c>
      <c r="I56" s="6" t="n">
        <v>244.3</v>
      </c>
      <c r="J56" s="6" t="n">
        <v>212.3</v>
      </c>
    </row>
    <row collapsed="false" customFormat="false" customHeight="false" hidden="false" ht="12.1" outlineLevel="0" r="57">
      <c r="A57" s="35" t="n">
        <v>45155</v>
      </c>
      <c r="B57" s="2" t="s">
        <v>1163</v>
      </c>
      <c r="C57" s="2" t="s">
        <v>249</v>
      </c>
      <c r="D57" s="2" t="s">
        <v>250</v>
      </c>
      <c r="E57" s="6" t="n">
        <v>1000</v>
      </c>
      <c r="F57" s="7" t="n">
        <v>1</v>
      </c>
      <c r="G57" s="6" t="n">
        <v>51.61</v>
      </c>
      <c r="H57" s="6" t="n">
        <v>7</v>
      </c>
      <c r="I57" s="6" t="n">
        <v>51.61</v>
      </c>
      <c r="J57" s="6" t="n">
        <v>44.61</v>
      </c>
    </row>
    <row collapsed="false" customFormat="false" customHeight="false" hidden="false" ht="12.1" outlineLevel="0" r="58">
      <c r="A58" s="35" t="n">
        <v>45157</v>
      </c>
      <c r="B58" s="2" t="s">
        <v>1163</v>
      </c>
      <c r="C58" s="2" t="s">
        <v>183</v>
      </c>
      <c r="D58" s="2" t="s">
        <v>184</v>
      </c>
      <c r="E58" s="6" t="n">
        <v>1000</v>
      </c>
      <c r="F58" s="7" t="n">
        <v>2</v>
      </c>
      <c r="G58" s="6" t="n">
        <v>7.5</v>
      </c>
      <c r="H58" s="6" t="n">
        <v>2</v>
      </c>
      <c r="I58" s="6" t="n">
        <v>15</v>
      </c>
      <c r="J58" s="6" t="n">
        <v>13</v>
      </c>
    </row>
    <row collapsed="false" customFormat="false" customHeight="false" hidden="false" ht="12.1" outlineLevel="0" r="59">
      <c r="A59" s="35" t="n">
        <v>45158</v>
      </c>
      <c r="B59" s="2" t="s">
        <v>1163</v>
      </c>
      <c r="C59" s="2" t="s">
        <v>766</v>
      </c>
      <c r="D59" s="2" t="s">
        <v>1169</v>
      </c>
      <c r="E59" s="6" t="n">
        <v>1000</v>
      </c>
      <c r="F59" s="7" t="n">
        <v>2</v>
      </c>
      <c r="G59" s="6" t="n">
        <v>32.41</v>
      </c>
      <c r="H59" s="6" t="n">
        <v>8</v>
      </c>
      <c r="I59" s="6" t="n">
        <v>64.82</v>
      </c>
      <c r="J59" s="6" t="n">
        <v>56.82</v>
      </c>
    </row>
    <row collapsed="false" customFormat="false" customHeight="false" hidden="false" ht="12.1" outlineLevel="0" r="60">
      <c r="A60" s="35" t="n">
        <v>45160</v>
      </c>
      <c r="B60" s="2" t="s">
        <v>1163</v>
      </c>
      <c r="C60" s="2" t="s">
        <v>762</v>
      </c>
      <c r="D60" s="2" t="s">
        <v>1165</v>
      </c>
      <c r="E60" s="6" t="n">
        <v>500</v>
      </c>
      <c r="F60" s="7" t="n">
        <v>1</v>
      </c>
      <c r="G60" s="6" t="n">
        <v>10.72</v>
      </c>
      <c r="H60" s="6" t="n">
        <v>1</v>
      </c>
      <c r="I60" s="6" t="n">
        <v>10.72</v>
      </c>
      <c r="J60" s="6" t="n">
        <v>9.72</v>
      </c>
    </row>
    <row collapsed="false" customFormat="false" customHeight="false" hidden="false" ht="12.1" outlineLevel="0" r="61">
      <c r="A61" s="35" t="n">
        <v>45161</v>
      </c>
      <c r="B61" s="2" t="s">
        <v>1163</v>
      </c>
      <c r="C61" s="2" t="s">
        <v>311</v>
      </c>
      <c r="D61" s="2" t="s">
        <v>312</v>
      </c>
      <c r="E61" s="6" t="n">
        <v>625</v>
      </c>
      <c r="F61" s="7" t="n">
        <v>1</v>
      </c>
      <c r="G61" s="6" t="n">
        <v>10.83</v>
      </c>
      <c r="H61" s="6" t="n">
        <v>1</v>
      </c>
      <c r="I61" s="6" t="n">
        <v>10.83</v>
      </c>
      <c r="J61" s="6" t="n">
        <v>9.83</v>
      </c>
    </row>
    <row collapsed="false" customFormat="false" customHeight="false" hidden="false" ht="12.1" outlineLevel="0" r="62">
      <c r="A62" s="35" t="n">
        <v>45169</v>
      </c>
      <c r="B62" s="2" t="s">
        <v>1163</v>
      </c>
      <c r="C62" s="2" t="s">
        <v>276</v>
      </c>
      <c r="D62" s="2" t="s">
        <v>277</v>
      </c>
      <c r="E62" s="6" t="n">
        <v>1000</v>
      </c>
      <c r="F62" s="7" t="n">
        <v>1</v>
      </c>
      <c r="G62" s="6" t="n">
        <v>24.81</v>
      </c>
      <c r="H62" s="6" t="n">
        <v>3</v>
      </c>
      <c r="I62" s="6" t="n">
        <v>24.81</v>
      </c>
      <c r="J62" s="6" t="n">
        <v>21.81</v>
      </c>
    </row>
    <row collapsed="false" customFormat="false" customHeight="false" hidden="false" ht="12.1" outlineLevel="0" r="63">
      <c r="A63" s="35" t="n">
        <v>45174</v>
      </c>
      <c r="B63" s="2" t="s">
        <v>1163</v>
      </c>
      <c r="C63" s="2" t="s">
        <v>306</v>
      </c>
      <c r="D63" s="2" t="s">
        <v>307</v>
      </c>
      <c r="E63" s="6" t="n">
        <v>1000</v>
      </c>
      <c r="F63" s="7" t="n">
        <v>1</v>
      </c>
      <c r="G63" s="6" t="n">
        <v>19.87</v>
      </c>
      <c r="H63" s="6" t="n">
        <v>3</v>
      </c>
      <c r="I63" s="6" t="n">
        <v>19.87</v>
      </c>
      <c r="J63" s="6" t="n">
        <v>16.87</v>
      </c>
    </row>
    <row collapsed="false" customFormat="false" customHeight="false" hidden="false" ht="12.1" outlineLevel="0" r="64">
      <c r="A64" s="35" t="n">
        <v>45174</v>
      </c>
      <c r="B64" s="2" t="s">
        <v>1163</v>
      </c>
      <c r="C64" s="2" t="s">
        <v>225</v>
      </c>
      <c r="D64" s="2" t="s">
        <v>226</v>
      </c>
      <c r="E64" s="6" t="n">
        <v>1000</v>
      </c>
      <c r="F64" s="7" t="n">
        <v>1</v>
      </c>
      <c r="G64" s="6" t="n">
        <v>43.33</v>
      </c>
      <c r="H64" s="6" t="n">
        <v>6</v>
      </c>
      <c r="I64" s="6" t="n">
        <v>43.33</v>
      </c>
      <c r="J64" s="6" t="n">
        <v>37.33</v>
      </c>
    </row>
    <row collapsed="false" customFormat="false" customHeight="false" hidden="false" ht="12.1" outlineLevel="0" r="65">
      <c r="A65" s="35" t="n">
        <v>45187</v>
      </c>
      <c r="B65" s="2" t="s">
        <v>1163</v>
      </c>
      <c r="C65" s="2" t="s">
        <v>279</v>
      </c>
      <c r="D65" s="2" t="s">
        <v>280</v>
      </c>
      <c r="E65" s="6" t="n">
        <v>1000</v>
      </c>
      <c r="F65" s="7" t="n">
        <v>1</v>
      </c>
      <c r="G65" s="6" t="n">
        <v>39.39</v>
      </c>
      <c r="H65" s="6" t="n">
        <v>5</v>
      </c>
      <c r="I65" s="6" t="n">
        <v>39.39</v>
      </c>
      <c r="J65" s="6" t="n">
        <v>34.39</v>
      </c>
    </row>
    <row collapsed="false" customFormat="false" customHeight="false" hidden="false" ht="12.1" outlineLevel="0" r="66">
      <c r="A66" s="35" t="n">
        <v>45188</v>
      </c>
      <c r="B66" s="2" t="s">
        <v>1163</v>
      </c>
      <c r="C66" s="2" t="s">
        <v>117</v>
      </c>
      <c r="D66" s="2" t="s">
        <v>118</v>
      </c>
      <c r="E66" s="6" t="n">
        <v>1000</v>
      </c>
      <c r="F66" s="7" t="n">
        <v>7</v>
      </c>
      <c r="G66" s="6" t="n">
        <v>29.42</v>
      </c>
      <c r="H66" s="6" t="n">
        <v>27</v>
      </c>
      <c r="I66" s="6" t="n">
        <v>205.94</v>
      </c>
      <c r="J66" s="6" t="n">
        <v>178.94</v>
      </c>
    </row>
    <row collapsed="false" customFormat="false" customHeight="false" hidden="false" ht="12.1" outlineLevel="0" r="67">
      <c r="A67" s="35" t="n">
        <v>45188</v>
      </c>
      <c r="B67" s="2" t="s">
        <v>1163</v>
      </c>
      <c r="C67" s="2" t="s">
        <v>183</v>
      </c>
      <c r="D67" s="2" t="s">
        <v>184</v>
      </c>
      <c r="E67" s="6" t="n">
        <v>1000</v>
      </c>
      <c r="F67" s="7" t="n">
        <v>2</v>
      </c>
      <c r="G67" s="6" t="n">
        <v>8.24</v>
      </c>
      <c r="H67" s="6" t="n">
        <v>2</v>
      </c>
      <c r="I67" s="6" t="n">
        <v>16.48</v>
      </c>
      <c r="J67" s="6" t="n">
        <v>14.48</v>
      </c>
    </row>
    <row collapsed="false" customFormat="false" customHeight="false" hidden="false" ht="12.1" outlineLevel="0" r="68">
      <c r="A68" s="35" t="n">
        <v>45194</v>
      </c>
      <c r="B68" s="2" t="s">
        <v>1163</v>
      </c>
      <c r="C68" s="2" t="s">
        <v>769</v>
      </c>
      <c r="D68" s="2" t="s">
        <v>1170</v>
      </c>
      <c r="E68" s="6" t="n">
        <v>825</v>
      </c>
      <c r="F68" s="7" t="n">
        <v>1</v>
      </c>
      <c r="G68" s="6" t="n">
        <v>21.6</v>
      </c>
      <c r="H68" s="6" t="n">
        <v>3</v>
      </c>
      <c r="I68" s="6" t="n">
        <v>21.6</v>
      </c>
      <c r="J68" s="6" t="n">
        <v>18.6</v>
      </c>
    </row>
    <row collapsed="false" customFormat="false" customHeight="false" hidden="false" ht="12.1" outlineLevel="0" r="69">
      <c r="A69" s="35" t="n">
        <v>45195</v>
      </c>
      <c r="B69" s="2" t="s">
        <v>1163</v>
      </c>
      <c r="C69" s="2" t="s">
        <v>153</v>
      </c>
      <c r="D69" s="2" t="s">
        <v>154</v>
      </c>
      <c r="E69" s="6" t="n">
        <v>1000</v>
      </c>
      <c r="F69" s="7" t="n">
        <v>4</v>
      </c>
      <c r="G69" s="6" t="n">
        <v>14.99</v>
      </c>
      <c r="H69" s="6" t="n">
        <v>8</v>
      </c>
      <c r="I69" s="6" t="n">
        <v>59.96</v>
      </c>
      <c r="J69" s="6" t="n">
        <v>51.96</v>
      </c>
    </row>
    <row collapsed="false" customFormat="false" customHeight="false" hidden="false" ht="12.1" outlineLevel="0" r="70">
      <c r="A70" s="35" t="n">
        <v>45202</v>
      </c>
      <c r="B70" s="2" t="s">
        <v>1163</v>
      </c>
      <c r="C70" s="2" t="s">
        <v>111</v>
      </c>
      <c r="D70" s="2" t="s">
        <v>112</v>
      </c>
      <c r="E70" s="6" t="n">
        <v>1000</v>
      </c>
      <c r="F70" s="7" t="n">
        <v>5</v>
      </c>
      <c r="G70" s="6" t="n">
        <v>38.39</v>
      </c>
      <c r="H70" s="6" t="n">
        <v>25</v>
      </c>
      <c r="I70" s="6" t="n">
        <v>191.95</v>
      </c>
      <c r="J70" s="6" t="n">
        <v>166.95</v>
      </c>
    </row>
    <row collapsed="false" customFormat="false" customHeight="false" hidden="false" ht="12.1" outlineLevel="0" r="71">
      <c r="A71" s="35" t="n">
        <v>45202</v>
      </c>
      <c r="B71" s="2" t="s">
        <v>1163</v>
      </c>
      <c r="C71" s="2" t="s">
        <v>132</v>
      </c>
      <c r="D71" s="2" t="s">
        <v>133</v>
      </c>
      <c r="E71" s="6" t="n">
        <v>1000</v>
      </c>
      <c r="F71" s="7" t="n">
        <v>1</v>
      </c>
      <c r="G71" s="6" t="n">
        <v>38.39</v>
      </c>
      <c r="H71" s="6" t="n">
        <v>5</v>
      </c>
      <c r="I71" s="6" t="n">
        <v>38.39</v>
      </c>
      <c r="J71" s="6" t="n">
        <v>33.39</v>
      </c>
    </row>
    <row collapsed="false" customFormat="false" customHeight="false" hidden="false" ht="12.1" outlineLevel="0" r="72">
      <c r="A72" s="35" t="n">
        <v>45203</v>
      </c>
      <c r="B72" s="2" t="s">
        <v>1163</v>
      </c>
      <c r="C72" s="2" t="s">
        <v>320</v>
      </c>
      <c r="D72" s="2" t="s">
        <v>321</v>
      </c>
      <c r="E72" s="6" t="n">
        <v>400</v>
      </c>
      <c r="F72" s="7" t="n">
        <v>1</v>
      </c>
      <c r="G72" s="6" t="n">
        <v>13.96</v>
      </c>
      <c r="H72" s="6" t="n">
        <v>2</v>
      </c>
      <c r="I72" s="6" t="n">
        <v>13.96</v>
      </c>
      <c r="J72" s="6" t="n">
        <v>11.96</v>
      </c>
    </row>
    <row collapsed="false" customFormat="false" customHeight="false" hidden="false" ht="12.1" outlineLevel="0" r="73">
      <c r="A73" s="35" t="n">
        <v>45209</v>
      </c>
      <c r="B73" s="2" t="s">
        <v>1163</v>
      </c>
      <c r="C73" s="2" t="s">
        <v>141</v>
      </c>
      <c r="D73" s="2" t="s">
        <v>142</v>
      </c>
      <c r="E73" s="6" t="n">
        <v>1000</v>
      </c>
      <c r="F73" s="7" t="n">
        <v>2</v>
      </c>
      <c r="G73" s="6" t="n">
        <v>43.33</v>
      </c>
      <c r="H73" s="6" t="n">
        <v>11</v>
      </c>
      <c r="I73" s="6" t="n">
        <v>86.66</v>
      </c>
      <c r="J73" s="6" t="n">
        <v>75.66</v>
      </c>
    </row>
    <row collapsed="false" customFormat="false" customHeight="false" hidden="false" ht="12.1" outlineLevel="0" r="74">
      <c r="A74" s="35" t="n">
        <v>45216</v>
      </c>
      <c r="B74" s="2" t="s">
        <v>1163</v>
      </c>
      <c r="C74" s="2" t="s">
        <v>114</v>
      </c>
      <c r="D74" s="2" t="s">
        <v>115</v>
      </c>
      <c r="E74" s="6" t="n">
        <v>1000</v>
      </c>
      <c r="F74" s="7" t="n">
        <v>2</v>
      </c>
      <c r="G74" s="6" t="n">
        <v>38.15</v>
      </c>
      <c r="H74" s="6" t="n">
        <v>10</v>
      </c>
      <c r="I74" s="6" t="n">
        <v>76.3</v>
      </c>
      <c r="J74" s="6" t="n">
        <v>66.3</v>
      </c>
    </row>
    <row collapsed="false" customFormat="false" customHeight="false" hidden="false" ht="12.1" outlineLevel="0" r="75">
      <c r="A75" s="35" t="n">
        <v>45219</v>
      </c>
      <c r="B75" s="2" t="s">
        <v>1163</v>
      </c>
      <c r="C75" s="2" t="s">
        <v>183</v>
      </c>
      <c r="D75" s="2" t="s">
        <v>184</v>
      </c>
      <c r="E75" s="6" t="n">
        <v>1000</v>
      </c>
      <c r="F75" s="7" t="n">
        <v>2</v>
      </c>
      <c r="G75" s="6" t="n">
        <v>11.28</v>
      </c>
      <c r="H75" s="6" t="n">
        <v>3</v>
      </c>
      <c r="I75" s="6" t="n">
        <v>22.56</v>
      </c>
      <c r="J75" s="6" t="n">
        <v>19.56</v>
      </c>
    </row>
    <row collapsed="false" customFormat="false" customHeight="false" hidden="false" ht="12.1" outlineLevel="0" r="76">
      <c r="A76" s="35" t="n">
        <v>45223</v>
      </c>
      <c r="B76" s="2" t="s">
        <v>1163</v>
      </c>
      <c r="C76" s="2" t="s">
        <v>760</v>
      </c>
      <c r="D76" s="2" t="s">
        <v>1166</v>
      </c>
      <c r="E76" s="6" t="n">
        <v>1000</v>
      </c>
      <c r="F76" s="7" t="n">
        <v>1</v>
      </c>
      <c r="G76" s="6" t="n">
        <v>27.78</v>
      </c>
      <c r="H76" s="6" t="n">
        <v>4</v>
      </c>
      <c r="I76" s="6" t="n">
        <v>27.78</v>
      </c>
      <c r="J76" s="6" t="n">
        <v>23.78</v>
      </c>
    </row>
    <row collapsed="false" customFormat="false" customHeight="false" hidden="false" ht="12.1" outlineLevel="0" r="77">
      <c r="A77" s="35" t="n">
        <v>45223</v>
      </c>
      <c r="B77" s="2" t="s">
        <v>1163</v>
      </c>
      <c r="C77" s="2" t="s">
        <v>237</v>
      </c>
      <c r="D77" s="2" t="s">
        <v>238</v>
      </c>
      <c r="E77" s="6" t="n">
        <v>1000</v>
      </c>
      <c r="F77" s="7" t="n">
        <v>1</v>
      </c>
      <c r="G77" s="6" t="n">
        <v>31.64</v>
      </c>
      <c r="H77" s="6" t="n">
        <v>4</v>
      </c>
      <c r="I77" s="6" t="n">
        <v>31.64</v>
      </c>
      <c r="J77" s="6" t="n">
        <v>27.64</v>
      </c>
    </row>
    <row collapsed="false" customFormat="false" customHeight="false" hidden="false" ht="12.1" outlineLevel="0" r="78">
      <c r="A78" s="35" t="n">
        <v>45229</v>
      </c>
      <c r="B78" s="2" t="s">
        <v>1163</v>
      </c>
      <c r="C78" s="2" t="s">
        <v>291</v>
      </c>
      <c r="D78" s="2" t="s">
        <v>292</v>
      </c>
      <c r="E78" s="6" t="n">
        <v>1000</v>
      </c>
      <c r="F78" s="7" t="n">
        <v>1</v>
      </c>
      <c r="G78" s="6" t="n">
        <v>28.22</v>
      </c>
      <c r="H78" s="6" t="n">
        <v>4</v>
      </c>
      <c r="I78" s="6" t="n">
        <v>28.22</v>
      </c>
      <c r="J78" s="6" t="n">
        <v>24.22</v>
      </c>
    </row>
    <row collapsed="false" customFormat="false" customHeight="false" hidden="false" ht="12.1" outlineLevel="0" r="79">
      <c r="A79" s="35" t="n">
        <v>45230</v>
      </c>
      <c r="B79" s="2" t="s">
        <v>1163</v>
      </c>
      <c r="C79" s="2" t="s">
        <v>246</v>
      </c>
      <c r="D79" s="2" t="s">
        <v>247</v>
      </c>
      <c r="E79" s="6" t="n">
        <v>1000</v>
      </c>
      <c r="F79" s="7" t="n">
        <v>1</v>
      </c>
      <c r="G79" s="6" t="n">
        <v>28.73</v>
      </c>
      <c r="H79" s="6" t="n">
        <v>4</v>
      </c>
      <c r="I79" s="6" t="n">
        <v>28.73</v>
      </c>
      <c r="J79" s="6" t="n">
        <v>24.73</v>
      </c>
    </row>
    <row collapsed="false" customFormat="false" customHeight="false" hidden="false" ht="12.1" outlineLevel="0" r="80">
      <c r="A80" s="35" t="n">
        <v>45231</v>
      </c>
      <c r="B80" s="2" t="s">
        <v>1163</v>
      </c>
      <c r="C80" s="2" t="s">
        <v>761</v>
      </c>
      <c r="D80" s="2" t="s">
        <v>1167</v>
      </c>
      <c r="E80" s="6" t="n">
        <v>1000</v>
      </c>
      <c r="F80" s="7" t="n">
        <v>1</v>
      </c>
      <c r="G80" s="6" t="n">
        <v>42.38</v>
      </c>
      <c r="H80" s="6" t="n">
        <v>6</v>
      </c>
      <c r="I80" s="6" t="n">
        <v>42.38</v>
      </c>
      <c r="J80" s="6" t="n">
        <v>36.38</v>
      </c>
    </row>
    <row collapsed="false" customFormat="false" customHeight="false" hidden="false" ht="12.1" outlineLevel="0" r="81">
      <c r="A81" s="35" t="n">
        <v>45244</v>
      </c>
      <c r="B81" s="2" t="s">
        <v>1163</v>
      </c>
      <c r="C81" s="2" t="s">
        <v>105</v>
      </c>
      <c r="D81" s="2" t="s">
        <v>106</v>
      </c>
      <c r="E81" s="6" t="n">
        <v>1000</v>
      </c>
      <c r="F81" s="7" t="n">
        <v>3</v>
      </c>
      <c r="G81" s="6" t="n">
        <v>43.43</v>
      </c>
      <c r="H81" s="6" t="n">
        <v>17</v>
      </c>
      <c r="I81" s="6" t="n">
        <v>130.29</v>
      </c>
      <c r="J81" s="6" t="n">
        <v>113.29</v>
      </c>
    </row>
    <row collapsed="false" customFormat="false" customHeight="false" hidden="false" ht="12.1" outlineLevel="0" r="82">
      <c r="A82" s="35" t="n">
        <v>45249</v>
      </c>
      <c r="B82" s="2" t="s">
        <v>1163</v>
      </c>
      <c r="C82" s="2" t="s">
        <v>766</v>
      </c>
      <c r="D82" s="2" t="s">
        <v>1169</v>
      </c>
      <c r="E82" s="6" t="n">
        <v>1000</v>
      </c>
      <c r="F82" s="7" t="n">
        <v>2</v>
      </c>
      <c r="G82" s="6" t="n">
        <v>32.41</v>
      </c>
      <c r="H82" s="6" t="n">
        <v>8</v>
      </c>
      <c r="I82" s="6" t="n">
        <v>64.82</v>
      </c>
      <c r="J82" s="6" t="n">
        <v>56.82</v>
      </c>
    </row>
    <row collapsed="false" customFormat="false" customHeight="false" hidden="false" ht="12.1" outlineLevel="0" r="83">
      <c r="A83" s="35" t="n">
        <v>45250</v>
      </c>
      <c r="B83" s="2" t="s">
        <v>1163</v>
      </c>
      <c r="C83" s="2" t="s">
        <v>183</v>
      </c>
      <c r="D83" s="2" t="s">
        <v>184</v>
      </c>
      <c r="E83" s="6" t="n">
        <v>1000</v>
      </c>
      <c r="F83" s="7" t="n">
        <v>2</v>
      </c>
      <c r="G83" s="6" t="n">
        <v>11.93</v>
      </c>
      <c r="H83" s="6" t="n">
        <v>3</v>
      </c>
      <c r="I83" s="6" t="n">
        <v>23.86</v>
      </c>
      <c r="J83" s="6" t="n">
        <v>20.86</v>
      </c>
    </row>
    <row collapsed="false" customFormat="false" customHeight="false" hidden="false" ht="12.1" outlineLevel="0" r="84">
      <c r="A84" s="35" t="n">
        <v>45251</v>
      </c>
      <c r="B84" s="2" t="s">
        <v>1163</v>
      </c>
      <c r="C84" s="2" t="s">
        <v>150</v>
      </c>
      <c r="D84" s="2" t="s">
        <v>151</v>
      </c>
      <c r="E84" s="6" t="n">
        <v>1000</v>
      </c>
      <c r="F84" s="7" t="n">
        <v>5</v>
      </c>
      <c r="G84" s="6" t="n">
        <v>17.96</v>
      </c>
      <c r="H84" s="6" t="n">
        <v>12</v>
      </c>
      <c r="I84" s="6" t="n">
        <v>89.8</v>
      </c>
      <c r="J84" s="6" t="n">
        <v>77.8</v>
      </c>
    </row>
    <row collapsed="false" customFormat="false" customHeight="false" hidden="false" ht="12.1" outlineLevel="0" r="85">
      <c r="A85" s="35" t="n">
        <v>45251</v>
      </c>
      <c r="B85" s="2" t="s">
        <v>1163</v>
      </c>
      <c r="C85" s="2" t="s">
        <v>135</v>
      </c>
      <c r="D85" s="2" t="s">
        <v>136</v>
      </c>
      <c r="E85" s="6" t="n">
        <v>1000</v>
      </c>
      <c r="F85" s="7" t="n">
        <v>6</v>
      </c>
      <c r="G85" s="6" t="n">
        <v>36.15</v>
      </c>
      <c r="H85" s="6" t="n">
        <v>28</v>
      </c>
      <c r="I85" s="6" t="n">
        <v>216.9</v>
      </c>
      <c r="J85" s="6" t="n">
        <v>188.9</v>
      </c>
    </row>
    <row collapsed="false" customFormat="false" customHeight="false" hidden="false" ht="12.1" outlineLevel="0" r="86">
      <c r="A86" s="35" t="n">
        <v>45251</v>
      </c>
      <c r="B86" s="2" t="s">
        <v>1163</v>
      </c>
      <c r="C86" s="2" t="s">
        <v>762</v>
      </c>
      <c r="D86" s="2" t="s">
        <v>1165</v>
      </c>
      <c r="E86" s="6" t="n">
        <v>500</v>
      </c>
      <c r="F86" s="7" t="n">
        <v>1</v>
      </c>
      <c r="G86" s="6" t="n">
        <v>10.72</v>
      </c>
      <c r="H86" s="6" t="n">
        <v>1</v>
      </c>
      <c r="I86" s="6" t="n">
        <v>10.72</v>
      </c>
      <c r="J86" s="6" t="n">
        <v>9.72</v>
      </c>
    </row>
    <row collapsed="false" customFormat="false" customHeight="false" hidden="false" ht="12.1" outlineLevel="0" r="87">
      <c r="A87" s="35" t="n">
        <v>45252</v>
      </c>
      <c r="B87" s="2" t="s">
        <v>1163</v>
      </c>
      <c r="C87" s="2" t="s">
        <v>311</v>
      </c>
      <c r="D87" s="2" t="s">
        <v>312</v>
      </c>
      <c r="E87" s="6" t="n">
        <v>625</v>
      </c>
      <c r="F87" s="7" t="n">
        <v>1</v>
      </c>
      <c r="G87" s="6" t="n">
        <v>10.83</v>
      </c>
      <c r="H87" s="6" t="n">
        <v>1</v>
      </c>
      <c r="I87" s="6" t="n">
        <v>10.83</v>
      </c>
      <c r="J87" s="6" t="n">
        <v>9.83</v>
      </c>
    </row>
    <row collapsed="false" customFormat="false" customHeight="false" hidden="false" ht="12.1" outlineLevel="0" r="88">
      <c r="A88" s="35" t="n">
        <v>45260</v>
      </c>
      <c r="B88" s="2" t="s">
        <v>1163</v>
      </c>
      <c r="C88" s="2" t="s">
        <v>276</v>
      </c>
      <c r="D88" s="2" t="s">
        <v>277</v>
      </c>
      <c r="E88" s="6" t="n">
        <v>1000</v>
      </c>
      <c r="F88" s="7" t="n">
        <v>1</v>
      </c>
      <c r="G88" s="6" t="n">
        <v>24.81</v>
      </c>
      <c r="H88" s="6" t="n">
        <v>3</v>
      </c>
      <c r="I88" s="6" t="n">
        <v>24.81</v>
      </c>
      <c r="J88" s="6" t="n">
        <v>21.81</v>
      </c>
    </row>
    <row collapsed="false" customFormat="false" customHeight="false" hidden="false" ht="12.1" outlineLevel="0" r="89">
      <c r="A89" s="35" t="n">
        <v>45264</v>
      </c>
      <c r="B89" s="2" t="s">
        <v>1163</v>
      </c>
      <c r="C89" s="2" t="s">
        <v>255</v>
      </c>
      <c r="D89" s="2" t="s">
        <v>256</v>
      </c>
      <c r="E89" s="6" t="n">
        <v>1000</v>
      </c>
      <c r="F89" s="7" t="n">
        <v>1</v>
      </c>
      <c r="G89" s="6" t="n">
        <v>56.1</v>
      </c>
      <c r="H89" s="6" t="n">
        <v>7</v>
      </c>
      <c r="I89" s="6" t="n">
        <v>56.1</v>
      </c>
      <c r="J89" s="6" t="n">
        <v>49.1</v>
      </c>
    </row>
    <row collapsed="false" customFormat="false" customHeight="false" hidden="false" ht="12.1" outlineLevel="0" r="90">
      <c r="A90" s="35" t="n">
        <v>45265</v>
      </c>
      <c r="B90" s="2" t="s">
        <v>1163</v>
      </c>
      <c r="C90" s="2" t="s">
        <v>186</v>
      </c>
      <c r="D90" s="2" t="s">
        <v>187</v>
      </c>
      <c r="E90" s="6" t="n">
        <v>1000</v>
      </c>
      <c r="F90" s="7" t="n">
        <v>1</v>
      </c>
      <c r="G90" s="6" t="n">
        <v>32.66</v>
      </c>
      <c r="H90" s="6" t="n">
        <v>4</v>
      </c>
      <c r="I90" s="6" t="n">
        <v>32.66</v>
      </c>
      <c r="J90" s="6" t="n">
        <v>28.66</v>
      </c>
    </row>
    <row collapsed="false" customFormat="false" customHeight="false" hidden="false" ht="12.1" outlineLevel="0" r="91">
      <c r="A91" s="35" t="n">
        <v>45265</v>
      </c>
      <c r="B91" s="2" t="s">
        <v>1163</v>
      </c>
      <c r="C91" s="2" t="s">
        <v>102</v>
      </c>
      <c r="D91" s="2" t="s">
        <v>103</v>
      </c>
      <c r="E91" s="6" t="n">
        <v>1000</v>
      </c>
      <c r="F91" s="7" t="n">
        <v>11</v>
      </c>
      <c r="G91" s="6" t="n">
        <v>35.4</v>
      </c>
      <c r="H91" s="6" t="n">
        <v>51</v>
      </c>
      <c r="I91" s="6" t="n">
        <v>389.4</v>
      </c>
      <c r="J91" s="6" t="n">
        <v>338.4</v>
      </c>
    </row>
    <row collapsed="false" customFormat="false" customHeight="false" hidden="false" ht="12.1" outlineLevel="0" r="92">
      <c r="A92" s="35" t="n">
        <v>45265</v>
      </c>
      <c r="B92" s="2" t="s">
        <v>1163</v>
      </c>
      <c r="C92" s="2" t="s">
        <v>120</v>
      </c>
      <c r="D92" s="2" t="s">
        <v>121</v>
      </c>
      <c r="E92" s="6" t="n">
        <v>1000</v>
      </c>
      <c r="F92" s="7" t="n">
        <v>3</v>
      </c>
      <c r="G92" s="6" t="n">
        <v>45.11</v>
      </c>
      <c r="H92" s="6" t="n">
        <v>18</v>
      </c>
      <c r="I92" s="6" t="n">
        <v>135.33</v>
      </c>
      <c r="J92" s="6" t="n">
        <v>117.33</v>
      </c>
    </row>
    <row collapsed="false" customFormat="false" customHeight="false" hidden="false" ht="12.1" outlineLevel="0" r="93">
      <c r="A93" s="35" t="n">
        <v>45265</v>
      </c>
      <c r="B93" s="2" t="s">
        <v>1163</v>
      </c>
      <c r="C93" s="2" t="s">
        <v>306</v>
      </c>
      <c r="D93" s="2" t="s">
        <v>307</v>
      </c>
      <c r="E93" s="6" t="n">
        <v>1000</v>
      </c>
      <c r="F93" s="7" t="n">
        <v>1</v>
      </c>
      <c r="G93" s="6" t="n">
        <v>19.87</v>
      </c>
      <c r="H93" s="6" t="n">
        <v>3</v>
      </c>
      <c r="I93" s="6" t="n">
        <v>19.87</v>
      </c>
      <c r="J93" s="6" t="n">
        <v>16.87</v>
      </c>
    </row>
    <row collapsed="false" customFormat="false" customHeight="false" hidden="false" ht="12.1" outlineLevel="0" r="94">
      <c r="A94" s="35" t="n">
        <v>45271</v>
      </c>
      <c r="B94" s="2" t="s">
        <v>1163</v>
      </c>
      <c r="C94" s="2" t="s">
        <v>288</v>
      </c>
      <c r="D94" s="2" t="s">
        <v>289</v>
      </c>
      <c r="E94" s="6" t="n">
        <v>930</v>
      </c>
      <c r="F94" s="7" t="n">
        <v>1</v>
      </c>
      <c r="G94" s="6" t="n">
        <v>31.3</v>
      </c>
      <c r="H94" s="6" t="n">
        <v>4</v>
      </c>
      <c r="I94" s="6" t="n">
        <v>31.3</v>
      </c>
      <c r="J94" s="6" t="n">
        <v>27.3</v>
      </c>
    </row>
    <row collapsed="false" customFormat="false" customHeight="false" hidden="false" ht="12.1" outlineLevel="0" r="95">
      <c r="A95" s="35" t="n">
        <v>45279</v>
      </c>
      <c r="B95" s="2" t="s">
        <v>1163</v>
      </c>
      <c r="C95" s="2" t="s">
        <v>99</v>
      </c>
      <c r="D95" s="2" t="s">
        <v>100</v>
      </c>
      <c r="E95" s="6" t="n">
        <v>1000</v>
      </c>
      <c r="F95" s="7" t="n">
        <v>3</v>
      </c>
      <c r="G95" s="6" t="n">
        <v>43.98</v>
      </c>
      <c r="H95" s="6" t="n">
        <v>17</v>
      </c>
      <c r="I95" s="6" t="n">
        <v>131.94</v>
      </c>
      <c r="J95" s="6" t="n">
        <v>114.94</v>
      </c>
    </row>
    <row collapsed="false" customFormat="false" customHeight="false" hidden="false" ht="12.1" outlineLevel="0" r="96">
      <c r="A96" s="35" t="n">
        <v>45281</v>
      </c>
      <c r="B96" s="2" t="s">
        <v>1163</v>
      </c>
      <c r="C96" s="2" t="s">
        <v>183</v>
      </c>
      <c r="D96" s="2" t="s">
        <v>184</v>
      </c>
      <c r="E96" s="6" t="n">
        <v>1000</v>
      </c>
      <c r="F96" s="7" t="n">
        <v>2</v>
      </c>
      <c r="G96" s="6" t="n">
        <v>12.96</v>
      </c>
      <c r="H96" s="6" t="n">
        <v>3</v>
      </c>
      <c r="I96" s="6" t="n">
        <v>25.92</v>
      </c>
      <c r="J96" s="6" t="n">
        <v>22.92</v>
      </c>
    </row>
    <row collapsed="false" customFormat="false" customHeight="false" hidden="false" ht="12.1" outlineLevel="0" r="97">
      <c r="A97" s="35" t="n">
        <v>45285</v>
      </c>
      <c r="B97" s="2" t="s">
        <v>1163</v>
      </c>
      <c r="C97" s="2" t="s">
        <v>769</v>
      </c>
      <c r="D97" s="2" t="s">
        <v>1170</v>
      </c>
      <c r="E97" s="6" t="n">
        <v>750</v>
      </c>
      <c r="F97" s="7" t="n">
        <v>1</v>
      </c>
      <c r="G97" s="6" t="n">
        <v>19.63</v>
      </c>
      <c r="H97" s="6" t="n">
        <v>3</v>
      </c>
      <c r="I97" s="6" t="n">
        <v>19.63</v>
      </c>
      <c r="J97" s="6" t="n">
        <v>16.63</v>
      </c>
    </row>
    <row collapsed="false" customFormat="false" customHeight="false" hidden="false" ht="12.1" outlineLevel="0" r="98">
      <c r="A98" s="35" t="n">
        <v>45288</v>
      </c>
      <c r="B98" s="2" t="s">
        <v>1163</v>
      </c>
      <c r="C98" s="2" t="s">
        <v>213</v>
      </c>
      <c r="D98" s="2" t="s">
        <v>214</v>
      </c>
      <c r="E98" s="6" t="n">
        <v>1000</v>
      </c>
      <c r="F98" s="7" t="n">
        <v>2</v>
      </c>
      <c r="G98" s="6" t="n">
        <v>32.91</v>
      </c>
      <c r="H98" s="6" t="n">
        <v>9</v>
      </c>
      <c r="I98" s="6" t="n">
        <v>65.82</v>
      </c>
      <c r="J98" s="6" t="n">
        <v>56.82</v>
      </c>
    </row>
    <row collapsed="false" customFormat="false" customHeight="false" hidden="false" ht="12.1" outlineLevel="0" r="99">
      <c r="A99" s="35" t="n">
        <v>45294</v>
      </c>
      <c r="B99" s="2" t="s">
        <v>1163</v>
      </c>
      <c r="C99" s="2" t="s">
        <v>320</v>
      </c>
      <c r="D99" s="2" t="s">
        <v>321</v>
      </c>
      <c r="E99" s="6" t="n">
        <v>400</v>
      </c>
      <c r="F99" s="7" t="n">
        <v>1</v>
      </c>
      <c r="G99" s="6" t="n">
        <v>13.96</v>
      </c>
      <c r="H99" s="6" t="n">
        <v>2</v>
      </c>
      <c r="I99" s="6" t="n">
        <v>13.96</v>
      </c>
      <c r="J99" s="6" t="n">
        <v>11.96</v>
      </c>
    </row>
    <row collapsed="false" customFormat="false" customHeight="false" hidden="false" ht="12.1" outlineLevel="0" r="100">
      <c r="A100" s="35" t="n">
        <v>45307</v>
      </c>
      <c r="B100" s="2" t="s">
        <v>1163</v>
      </c>
      <c r="C100" s="2" t="s">
        <v>177</v>
      </c>
      <c r="D100" s="2" t="s">
        <v>178</v>
      </c>
      <c r="E100" s="6" t="n">
        <v>1000</v>
      </c>
      <c r="F100" s="7" t="n">
        <v>2</v>
      </c>
      <c r="G100" s="6" t="n">
        <v>22.44</v>
      </c>
      <c r="H100" s="6" t="n">
        <v>6</v>
      </c>
      <c r="I100" s="6" t="n">
        <v>44.88</v>
      </c>
      <c r="J100" s="6" t="n">
        <v>38.88</v>
      </c>
    </row>
    <row collapsed="false" customFormat="false" customHeight="false" hidden="false" ht="12.1" outlineLevel="0" r="101">
      <c r="A101" s="35" t="n">
        <v>45312</v>
      </c>
      <c r="B101" s="2" t="s">
        <v>1163</v>
      </c>
      <c r="C101" s="2" t="s">
        <v>183</v>
      </c>
      <c r="D101" s="2" t="s">
        <v>184</v>
      </c>
      <c r="E101" s="6" t="n">
        <v>1000</v>
      </c>
      <c r="F101" s="7" t="n">
        <v>2</v>
      </c>
      <c r="G101" s="6" t="n">
        <v>13.99</v>
      </c>
      <c r="H101" s="6" t="n">
        <v>4</v>
      </c>
      <c r="I101" s="6" t="n">
        <v>27.98</v>
      </c>
      <c r="J101" s="6" t="n">
        <v>23.98</v>
      </c>
    </row>
    <row collapsed="false" customFormat="false" customHeight="false" hidden="false" ht="12.1" outlineLevel="0" r="102">
      <c r="A102" s="35" t="n">
        <v>45313</v>
      </c>
      <c r="B102" s="2" t="s">
        <v>1163</v>
      </c>
      <c r="C102" s="2" t="s">
        <v>308</v>
      </c>
      <c r="D102" s="2" t="s">
        <v>309</v>
      </c>
      <c r="E102" s="6" t="n">
        <v>1000</v>
      </c>
      <c r="F102" s="7" t="n">
        <v>1</v>
      </c>
      <c r="G102" s="6" t="n">
        <v>34.28</v>
      </c>
      <c r="H102" s="6" t="n">
        <v>4</v>
      </c>
      <c r="I102" s="6" t="n">
        <v>34.28</v>
      </c>
      <c r="J102" s="6" t="n">
        <v>30.28</v>
      </c>
    </row>
    <row collapsed="false" customFormat="false" customHeight="false" hidden="false" ht="12.1" outlineLevel="0" r="103">
      <c r="A103" s="35" t="n">
        <v>45314</v>
      </c>
      <c r="B103" s="2" t="s">
        <v>1163</v>
      </c>
      <c r="C103" s="2" t="s">
        <v>237</v>
      </c>
      <c r="D103" s="2" t="s">
        <v>238</v>
      </c>
      <c r="E103" s="6" t="n">
        <v>1000</v>
      </c>
      <c r="F103" s="7" t="n">
        <v>1</v>
      </c>
      <c r="G103" s="6" t="n">
        <v>40.7</v>
      </c>
      <c r="H103" s="6" t="n">
        <v>5</v>
      </c>
      <c r="I103" s="6" t="n">
        <v>40.7</v>
      </c>
      <c r="J103" s="6" t="n">
        <v>35.7</v>
      </c>
    </row>
    <row collapsed="false" customFormat="false" customHeight="false" hidden="false" ht="12.1" outlineLevel="0" r="104">
      <c r="A104" s="35" t="n">
        <v>45314</v>
      </c>
      <c r="B104" s="2" t="s">
        <v>1163</v>
      </c>
      <c r="C104" s="2" t="s">
        <v>760</v>
      </c>
      <c r="D104" s="2" t="s">
        <v>1166</v>
      </c>
      <c r="E104" s="6" t="n">
        <v>1000</v>
      </c>
      <c r="F104" s="7" t="n">
        <v>1</v>
      </c>
      <c r="G104" s="6" t="n">
        <v>36.81</v>
      </c>
      <c r="H104" s="6" t="n">
        <v>5</v>
      </c>
      <c r="I104" s="6" t="n">
        <v>36.81</v>
      </c>
      <c r="J104" s="6" t="n">
        <v>31.81</v>
      </c>
    </row>
    <row collapsed="false" customFormat="false" customHeight="false" hidden="false" ht="12.1" outlineLevel="0" r="105">
      <c r="A105" s="35" t="n">
        <v>45314</v>
      </c>
      <c r="B105" s="2" t="s">
        <v>1163</v>
      </c>
      <c r="C105" s="2" t="s">
        <v>270</v>
      </c>
      <c r="D105" s="2" t="s">
        <v>271</v>
      </c>
      <c r="E105" s="6" t="n">
        <v>1000</v>
      </c>
      <c r="F105" s="7" t="n">
        <v>1</v>
      </c>
      <c r="G105" s="6" t="n">
        <v>43.38</v>
      </c>
      <c r="H105" s="6" t="n">
        <v>6</v>
      </c>
      <c r="I105" s="6" t="n">
        <v>43.38</v>
      </c>
      <c r="J105" s="6" t="n">
        <v>37.38</v>
      </c>
    </row>
    <row collapsed="false" customFormat="false" customHeight="false" hidden="false" ht="12.1" outlineLevel="0" r="106">
      <c r="A106" s="35" t="n">
        <v>45316</v>
      </c>
      <c r="B106" s="2" t="s">
        <v>1163</v>
      </c>
      <c r="C106" s="2" t="s">
        <v>768</v>
      </c>
      <c r="D106" s="2" t="s">
        <v>1171</v>
      </c>
      <c r="E106" s="6" t="n">
        <v>1000</v>
      </c>
      <c r="F106" s="7" t="n">
        <v>1</v>
      </c>
      <c r="G106" s="6" t="n">
        <v>47.12</v>
      </c>
      <c r="H106" s="6" t="n">
        <v>6</v>
      </c>
      <c r="I106" s="6" t="n">
        <v>47.12</v>
      </c>
      <c r="J106" s="6" t="n">
        <v>41.12</v>
      </c>
    </row>
    <row collapsed="false" customFormat="false" customHeight="false" hidden="false" ht="12.1" outlineLevel="0" r="107">
      <c r="A107" s="35" t="n">
        <v>45320</v>
      </c>
      <c r="B107" s="2" t="s">
        <v>1163</v>
      </c>
      <c r="C107" s="2" t="s">
        <v>291</v>
      </c>
      <c r="D107" s="2" t="s">
        <v>292</v>
      </c>
      <c r="E107" s="6" t="n">
        <v>1000</v>
      </c>
      <c r="F107" s="7" t="n">
        <v>1</v>
      </c>
      <c r="G107" s="6" t="n">
        <v>28.22</v>
      </c>
      <c r="H107" s="6" t="n">
        <v>4</v>
      </c>
      <c r="I107" s="6" t="n">
        <v>28.22</v>
      </c>
      <c r="J107" s="6" t="n">
        <v>24.22</v>
      </c>
    </row>
    <row collapsed="false" customFormat="false" customHeight="false" hidden="false" ht="12.1" outlineLevel="0" r="108">
      <c r="A108" s="35" t="n">
        <v>45321</v>
      </c>
      <c r="B108" s="2" t="s">
        <v>1163</v>
      </c>
      <c r="C108" s="2" t="s">
        <v>765</v>
      </c>
      <c r="D108" s="2" t="s">
        <v>1168</v>
      </c>
      <c r="E108" s="6" t="n">
        <v>1000</v>
      </c>
      <c r="F108" s="7" t="n">
        <v>1</v>
      </c>
      <c r="G108" s="6" t="n">
        <v>42.53</v>
      </c>
      <c r="H108" s="6" t="n">
        <v>6</v>
      </c>
      <c r="I108" s="6" t="n">
        <v>42.53</v>
      </c>
      <c r="J108" s="6" t="n">
        <v>36.53</v>
      </c>
    </row>
    <row collapsed="false" customFormat="false" customHeight="false" hidden="false" ht="12.1" outlineLevel="0" r="109">
      <c r="A109" s="35" t="n">
        <v>45321</v>
      </c>
      <c r="B109" s="2" t="s">
        <v>1163</v>
      </c>
      <c r="C109" s="2" t="s">
        <v>246</v>
      </c>
      <c r="D109" s="2" t="s">
        <v>247</v>
      </c>
      <c r="E109" s="6" t="n">
        <v>1000</v>
      </c>
      <c r="F109" s="7" t="n">
        <v>1</v>
      </c>
      <c r="G109" s="6" t="n">
        <v>37.33</v>
      </c>
      <c r="H109" s="6" t="n">
        <v>5</v>
      </c>
      <c r="I109" s="6" t="n">
        <v>37.33</v>
      </c>
      <c r="J109" s="6" t="n">
        <v>32.33</v>
      </c>
    </row>
    <row collapsed="false" customFormat="false" customHeight="false" hidden="false" ht="12.1" outlineLevel="0" r="110">
      <c r="A110" s="35" t="n">
        <v>45321</v>
      </c>
      <c r="B110" s="2" t="s">
        <v>1163</v>
      </c>
      <c r="C110" s="2" t="s">
        <v>95</v>
      </c>
      <c r="D110" s="2" t="s">
        <v>97</v>
      </c>
      <c r="E110" s="6" t="n">
        <v>1000</v>
      </c>
      <c r="F110" s="7" t="n">
        <v>20</v>
      </c>
      <c r="G110" s="6" t="n">
        <v>30.42</v>
      </c>
      <c r="H110" s="6" t="n">
        <v>79</v>
      </c>
      <c r="I110" s="6" t="n">
        <v>608.4</v>
      </c>
      <c r="J110" s="6" t="n">
        <v>529.4</v>
      </c>
    </row>
    <row collapsed="false" customFormat="false" customHeight="false" hidden="false" ht="12.1" outlineLevel="0" r="111">
      <c r="A111" s="35" t="n">
        <v>45324</v>
      </c>
      <c r="B111" s="2" t="s">
        <v>1163</v>
      </c>
      <c r="C111" s="2" t="s">
        <v>252</v>
      </c>
      <c r="D111" s="2" t="s">
        <v>253</v>
      </c>
      <c r="E111" s="6" t="n">
        <v>1000</v>
      </c>
      <c r="F111" s="7" t="n">
        <v>1</v>
      </c>
      <c r="G111" s="6" t="n">
        <v>53.1</v>
      </c>
      <c r="H111" s="6" t="n">
        <v>7</v>
      </c>
      <c r="I111" s="6" t="n">
        <v>53.1</v>
      </c>
      <c r="J111" s="6" t="n">
        <v>46.1</v>
      </c>
    </row>
    <row collapsed="false" customFormat="false" customHeight="false" hidden="false" ht="12.1" outlineLevel="0" r="112">
      <c r="A112" s="35" t="n">
        <v>45335</v>
      </c>
      <c r="B112" s="2" t="s">
        <v>1163</v>
      </c>
      <c r="C112" s="2" t="s">
        <v>108</v>
      </c>
      <c r="D112" s="2" t="s">
        <v>109</v>
      </c>
      <c r="E112" s="6" t="n">
        <v>1000</v>
      </c>
      <c r="F112" s="7" t="n">
        <v>12</v>
      </c>
      <c r="G112" s="6" t="n">
        <v>34.9</v>
      </c>
      <c r="H112" s="6" t="n">
        <v>54</v>
      </c>
      <c r="I112" s="6" t="n">
        <v>418.8</v>
      </c>
      <c r="J112" s="6" t="n">
        <v>364.8</v>
      </c>
    </row>
    <row collapsed="false" customFormat="false" customHeight="false" hidden="false" ht="12.1" outlineLevel="0" r="113">
      <c r="A113" s="35" t="n">
        <v>45337</v>
      </c>
      <c r="B113" s="2" t="s">
        <v>1163</v>
      </c>
      <c r="C113" s="2" t="s">
        <v>249</v>
      </c>
      <c r="D113" s="2" t="s">
        <v>250</v>
      </c>
      <c r="E113" s="6" t="n">
        <v>1000</v>
      </c>
      <c r="F113" s="7" t="n">
        <v>1</v>
      </c>
      <c r="G113" s="6" t="n">
        <v>51.61</v>
      </c>
      <c r="H113" s="6" t="n">
        <v>7</v>
      </c>
      <c r="I113" s="6" t="n">
        <v>51.61</v>
      </c>
      <c r="J113" s="6" t="n">
        <v>44.61</v>
      </c>
    </row>
    <row collapsed="false" customFormat="false" customHeight="false" hidden="false" ht="12.1" outlineLevel="0" r="114">
      <c r="A114" s="35" t="n">
        <v>45340</v>
      </c>
      <c r="B114" s="2" t="s">
        <v>1163</v>
      </c>
      <c r="C114" s="2" t="s">
        <v>766</v>
      </c>
      <c r="D114" s="2" t="s">
        <v>1169</v>
      </c>
      <c r="E114" s="6" t="n">
        <v>1000</v>
      </c>
      <c r="F114" s="7" t="n">
        <v>2</v>
      </c>
      <c r="G114" s="6" t="n">
        <v>32.41</v>
      </c>
      <c r="H114" s="6" t="n">
        <v>8</v>
      </c>
      <c r="I114" s="6" t="n">
        <v>64.82</v>
      </c>
      <c r="J114" s="6" t="n">
        <v>56.82</v>
      </c>
    </row>
    <row collapsed="false" customFormat="false" customHeight="false" hidden="false" ht="12.1" outlineLevel="0" r="115">
      <c r="A115" s="35" t="n">
        <v>45342</v>
      </c>
      <c r="B115" s="2" t="s">
        <v>1163</v>
      </c>
      <c r="C115" s="2" t="s">
        <v>762</v>
      </c>
      <c r="D115" s="2" t="s">
        <v>1165</v>
      </c>
      <c r="E115" s="6" t="n">
        <v>250</v>
      </c>
      <c r="F115" s="7" t="n">
        <v>1</v>
      </c>
      <c r="G115" s="6" t="n">
        <v>5.36</v>
      </c>
      <c r="H115" s="6" t="n">
        <v>1</v>
      </c>
      <c r="I115" s="6" t="n">
        <v>5.36</v>
      </c>
      <c r="J115" s="6" t="n">
        <v>4.36</v>
      </c>
    </row>
    <row collapsed="false" customFormat="false" customHeight="false" hidden="false" ht="12.1" outlineLevel="0" r="116">
      <c r="A116" s="35" t="n">
        <v>45343</v>
      </c>
      <c r="B116" s="2" t="s">
        <v>1163</v>
      </c>
      <c r="C116" s="2" t="s">
        <v>311</v>
      </c>
      <c r="D116" s="2" t="s">
        <v>312</v>
      </c>
      <c r="E116" s="6" t="n">
        <v>625</v>
      </c>
      <c r="F116" s="7" t="n">
        <v>1</v>
      </c>
      <c r="G116" s="6" t="n">
        <v>10.83</v>
      </c>
      <c r="H116" s="6" t="n">
        <v>1</v>
      </c>
      <c r="I116" s="6" t="n">
        <v>10.83</v>
      </c>
      <c r="J116" s="6" t="n">
        <v>9.83</v>
      </c>
    </row>
    <row collapsed="false" customFormat="false" customHeight="false" hidden="false" ht="12.1" outlineLevel="0" r="117">
      <c r="A117" s="35" t="n">
        <v>45343</v>
      </c>
      <c r="B117" s="2" t="s">
        <v>1163</v>
      </c>
      <c r="C117" s="2" t="s">
        <v>183</v>
      </c>
      <c r="D117" s="2" t="s">
        <v>184</v>
      </c>
      <c r="E117" s="6" t="n">
        <v>1000</v>
      </c>
      <c r="F117" s="7" t="n">
        <v>2</v>
      </c>
      <c r="G117" s="6" t="n">
        <v>14.3</v>
      </c>
      <c r="H117" s="6" t="n">
        <v>4</v>
      </c>
      <c r="I117" s="6" t="n">
        <v>28.6</v>
      </c>
      <c r="J117" s="6" t="n">
        <v>24.6</v>
      </c>
    </row>
    <row collapsed="false" customFormat="false" customHeight="false" hidden="false" ht="12.1" outlineLevel="0" r="118">
      <c r="A118" s="35" t="n">
        <v>45351</v>
      </c>
      <c r="B118" s="2" t="s">
        <v>1163</v>
      </c>
      <c r="C118" s="2" t="s">
        <v>276</v>
      </c>
      <c r="D118" s="2" t="s">
        <v>277</v>
      </c>
      <c r="E118" s="6" t="n">
        <v>1000</v>
      </c>
      <c r="F118" s="7" t="n">
        <v>1</v>
      </c>
      <c r="G118" s="6" t="n">
        <v>24.81</v>
      </c>
      <c r="H118" s="6" t="n">
        <v>3</v>
      </c>
      <c r="I118" s="6" t="n">
        <v>24.81</v>
      </c>
      <c r="J118" s="6" t="n">
        <v>21.81</v>
      </c>
    </row>
    <row collapsed="false" customFormat="false" customHeight="false" hidden="false" ht="12.1" outlineLevel="0" r="119">
      <c r="A119" s="35" t="n">
        <v>45356</v>
      </c>
      <c r="B119" s="2" t="s">
        <v>1163</v>
      </c>
      <c r="C119" s="2" t="s">
        <v>306</v>
      </c>
      <c r="D119" s="2" t="s">
        <v>307</v>
      </c>
      <c r="E119" s="6" t="n">
        <v>1000</v>
      </c>
      <c r="F119" s="7" t="n">
        <v>1</v>
      </c>
      <c r="G119" s="6" t="n">
        <v>19.87</v>
      </c>
      <c r="H119" s="6" t="n">
        <v>3</v>
      </c>
      <c r="I119" s="6" t="n">
        <v>19.87</v>
      </c>
      <c r="J119" s="6" t="n">
        <v>16.87</v>
      </c>
    </row>
    <row collapsed="false" customFormat="false" customHeight="false" hidden="false" ht="12.1" outlineLevel="0" r="120">
      <c r="A120" s="35" t="n">
        <v>45356</v>
      </c>
      <c r="B120" s="2" t="s">
        <v>1163</v>
      </c>
      <c r="C120" s="2" t="s">
        <v>225</v>
      </c>
      <c r="D120" s="2" t="s">
        <v>226</v>
      </c>
      <c r="E120" s="6" t="n">
        <v>1000</v>
      </c>
      <c r="F120" s="7" t="n">
        <v>1</v>
      </c>
      <c r="G120" s="6" t="n">
        <v>45.97</v>
      </c>
      <c r="H120" s="6" t="n">
        <v>6</v>
      </c>
      <c r="I120" s="6" t="n">
        <v>45.97</v>
      </c>
      <c r="J120" s="6" t="n">
        <v>39.97</v>
      </c>
    </row>
    <row collapsed="false" customFormat="false" customHeight="false" hidden="false" ht="12.1" outlineLevel="0" r="121">
      <c r="A121" s="35" t="n">
        <v>45357</v>
      </c>
      <c r="B121" s="2" t="s">
        <v>1163</v>
      </c>
      <c r="C121" s="2" t="s">
        <v>317</v>
      </c>
      <c r="D121" s="2" t="s">
        <v>318</v>
      </c>
      <c r="E121" s="6" t="n">
        <v>598</v>
      </c>
      <c r="F121" s="7" t="n">
        <v>1</v>
      </c>
      <c r="G121" s="6" t="n">
        <v>14.76</v>
      </c>
      <c r="H121" s="6" t="n">
        <v>2</v>
      </c>
      <c r="I121" s="6" t="n">
        <v>14.76</v>
      </c>
      <c r="J121" s="6" t="n">
        <v>12.76</v>
      </c>
    </row>
    <row collapsed="false" customFormat="false" customHeight="false" hidden="false" ht="12.1" outlineLevel="0" r="122">
      <c r="A122" s="35" t="n">
        <v>45369</v>
      </c>
      <c r="B122" s="2" t="s">
        <v>1163</v>
      </c>
      <c r="C122" s="2" t="s">
        <v>279</v>
      </c>
      <c r="D122" s="2" t="s">
        <v>280</v>
      </c>
      <c r="E122" s="6" t="n">
        <v>1000</v>
      </c>
      <c r="F122" s="7" t="n">
        <v>1</v>
      </c>
      <c r="G122" s="6" t="n">
        <v>39.39</v>
      </c>
      <c r="H122" s="6" t="n">
        <v>5</v>
      </c>
      <c r="I122" s="6" t="n">
        <v>39.39</v>
      </c>
      <c r="J122" s="6" t="n">
        <v>34.39</v>
      </c>
    </row>
    <row collapsed="false" customFormat="false" customHeight="false" hidden="false" ht="12.1" outlineLevel="0" r="123">
      <c r="A123" s="35" t="n">
        <v>45370</v>
      </c>
      <c r="B123" s="2" t="s">
        <v>1163</v>
      </c>
      <c r="C123" s="2" t="s">
        <v>117</v>
      </c>
      <c r="D123" s="2" t="s">
        <v>118</v>
      </c>
      <c r="E123" s="6" t="n">
        <v>1000</v>
      </c>
      <c r="F123" s="7" t="n">
        <v>8</v>
      </c>
      <c r="G123" s="6" t="n">
        <v>29.42</v>
      </c>
      <c r="H123" s="6" t="n">
        <v>31</v>
      </c>
      <c r="I123" s="6" t="n">
        <v>235.36</v>
      </c>
      <c r="J123" s="6" t="n">
        <v>204.36</v>
      </c>
    </row>
    <row collapsed="false" customFormat="false" customHeight="false" hidden="false" ht="12.1" outlineLevel="0" r="124">
      <c r="A124" s="35" t="n">
        <v>45371</v>
      </c>
      <c r="B124" s="2" t="s">
        <v>1163</v>
      </c>
      <c r="C124" s="2" t="s">
        <v>234</v>
      </c>
      <c r="D124" s="2" t="s">
        <v>235</v>
      </c>
      <c r="E124" s="6" t="n">
        <v>1000</v>
      </c>
      <c r="F124" s="7" t="n">
        <v>1</v>
      </c>
      <c r="G124" s="6" t="n">
        <v>14.54</v>
      </c>
      <c r="H124" s="6" t="n">
        <v>2</v>
      </c>
      <c r="I124" s="6" t="n">
        <v>14.54</v>
      </c>
      <c r="J124" s="6" t="n">
        <v>12.54</v>
      </c>
    </row>
    <row collapsed="false" customFormat="false" customHeight="false" hidden="false" ht="12.1" outlineLevel="0" r="125">
      <c r="A125" s="35" t="n">
        <v>45374</v>
      </c>
      <c r="B125" s="2" t="s">
        <v>1163</v>
      </c>
      <c r="C125" s="2" t="s">
        <v>183</v>
      </c>
      <c r="D125" s="2" t="s">
        <v>184</v>
      </c>
      <c r="E125" s="6" t="n">
        <v>1000</v>
      </c>
      <c r="F125" s="7" t="n">
        <v>2</v>
      </c>
      <c r="G125" s="6" t="n">
        <v>14.75</v>
      </c>
      <c r="H125" s="6" t="n">
        <v>4</v>
      </c>
      <c r="I125" s="6" t="n">
        <v>29.5</v>
      </c>
      <c r="J125" s="6" t="n">
        <v>25.5</v>
      </c>
    </row>
    <row collapsed="false" customFormat="false" customHeight="false" hidden="false" ht="12.1" outlineLevel="0" r="126">
      <c r="A126" s="35" t="n">
        <v>45376</v>
      </c>
      <c r="B126" s="2" t="s">
        <v>1163</v>
      </c>
      <c r="C126" s="2" t="s">
        <v>769</v>
      </c>
      <c r="D126" s="2" t="s">
        <v>1170</v>
      </c>
      <c r="E126" s="6" t="n">
        <v>675</v>
      </c>
      <c r="F126" s="7" t="n">
        <v>1</v>
      </c>
      <c r="G126" s="6" t="n">
        <v>17.67</v>
      </c>
      <c r="H126" s="6" t="n">
        <v>2</v>
      </c>
      <c r="I126" s="6" t="n">
        <v>17.67</v>
      </c>
      <c r="J126" s="6" t="n">
        <v>15.67</v>
      </c>
    </row>
    <row collapsed="false" customFormat="false" customHeight="false" hidden="false" ht="12.1" outlineLevel="0" r="127">
      <c r="A127" s="35" t="n">
        <v>45377</v>
      </c>
      <c r="B127" s="2" t="s">
        <v>1163</v>
      </c>
      <c r="C127" s="2" t="s">
        <v>153</v>
      </c>
      <c r="D127" s="2" t="s">
        <v>154</v>
      </c>
      <c r="E127" s="6" t="n">
        <v>1000</v>
      </c>
      <c r="F127" s="7" t="n">
        <v>4</v>
      </c>
      <c r="G127" s="6" t="n">
        <v>15.66</v>
      </c>
      <c r="H127" s="6" t="n">
        <v>8</v>
      </c>
      <c r="I127" s="6" t="n">
        <v>62.64</v>
      </c>
      <c r="J127" s="6" t="n">
        <v>54.64</v>
      </c>
    </row>
    <row collapsed="false" customFormat="false" customHeight="false" hidden="false" ht="12.1" outlineLevel="0" r="128">
      <c r="A128" s="35" t="n">
        <v>45377</v>
      </c>
      <c r="B128" s="2" t="s">
        <v>1163</v>
      </c>
      <c r="C128" s="2" t="s">
        <v>138</v>
      </c>
      <c r="D128" s="2" t="s">
        <v>139</v>
      </c>
      <c r="E128" s="6" t="n">
        <v>1000</v>
      </c>
      <c r="F128" s="7" t="n">
        <v>4</v>
      </c>
      <c r="G128" s="6" t="n">
        <v>47.47</v>
      </c>
      <c r="H128" s="6" t="n">
        <v>25</v>
      </c>
      <c r="I128" s="6" t="n">
        <v>189.88</v>
      </c>
      <c r="J128" s="6" t="n">
        <v>164.88</v>
      </c>
    </row>
    <row collapsed="false" customFormat="false" customHeight="false" hidden="false" ht="12.1" outlineLevel="0" r="129">
      <c r="A129" s="35" t="n">
        <v>45377</v>
      </c>
      <c r="B129" s="2" t="s">
        <v>1163</v>
      </c>
      <c r="C129" s="2" t="s">
        <v>126</v>
      </c>
      <c r="D129" s="2" t="s">
        <v>127</v>
      </c>
      <c r="E129" s="6" t="n">
        <v>1000</v>
      </c>
      <c r="F129" s="7" t="n">
        <v>2</v>
      </c>
      <c r="G129" s="6" t="n">
        <v>42.38</v>
      </c>
      <c r="H129" s="6" t="n">
        <v>11</v>
      </c>
      <c r="I129" s="6" t="n">
        <v>84.76</v>
      </c>
      <c r="J129" s="6" t="n">
        <v>73.76</v>
      </c>
    </row>
    <row collapsed="false" customFormat="false" customHeight="false" hidden="false" ht="12.1" outlineLevel="0" r="130">
      <c r="A130" s="35" t="n">
        <v>45384</v>
      </c>
      <c r="B130" s="2" t="s">
        <v>1163</v>
      </c>
      <c r="C130" s="2" t="s">
        <v>132</v>
      </c>
      <c r="D130" s="2" t="s">
        <v>133</v>
      </c>
      <c r="E130" s="6" t="n">
        <v>1000</v>
      </c>
      <c r="F130" s="7" t="n">
        <v>2</v>
      </c>
      <c r="G130" s="6" t="n">
        <v>38.39</v>
      </c>
      <c r="H130" s="6" t="n">
        <v>10</v>
      </c>
      <c r="I130" s="6" t="n">
        <v>76.78</v>
      </c>
      <c r="J130" s="6" t="n">
        <v>66.78</v>
      </c>
    </row>
    <row collapsed="false" customFormat="false" customHeight="false" hidden="false" ht="12.1" outlineLevel="0" r="131">
      <c r="A131" s="35" t="n">
        <v>45384</v>
      </c>
      <c r="B131" s="2" t="s">
        <v>1163</v>
      </c>
      <c r="C131" s="2" t="s">
        <v>111</v>
      </c>
      <c r="D131" s="2" t="s">
        <v>112</v>
      </c>
      <c r="E131" s="6" t="n">
        <v>1000</v>
      </c>
      <c r="F131" s="7" t="n">
        <v>13</v>
      </c>
      <c r="G131" s="6" t="n">
        <v>38.39</v>
      </c>
      <c r="H131" s="6" t="n">
        <v>65</v>
      </c>
      <c r="I131" s="6" t="n">
        <v>499.07</v>
      </c>
      <c r="J131" s="6" t="n">
        <v>434.07</v>
      </c>
    </row>
    <row collapsed="false" customFormat="false" customHeight="false" hidden="false" ht="12.1" outlineLevel="0" r="132">
      <c r="A132" s="35" t="n">
        <v>45385</v>
      </c>
      <c r="B132" s="2" t="s">
        <v>1163</v>
      </c>
      <c r="C132" s="2" t="s">
        <v>320</v>
      </c>
      <c r="D132" s="2" t="s">
        <v>321</v>
      </c>
      <c r="E132" s="6" t="n">
        <v>400</v>
      </c>
      <c r="F132" s="7" t="n">
        <v>1</v>
      </c>
      <c r="G132" s="6" t="n">
        <v>13.96</v>
      </c>
      <c r="H132" s="6" t="n">
        <v>2</v>
      </c>
      <c r="I132" s="6" t="n">
        <v>13.96</v>
      </c>
      <c r="J132" s="6" t="n">
        <v>11.96</v>
      </c>
    </row>
    <row collapsed="false" customFormat="false" customHeight="false" hidden="false" ht="12.1" outlineLevel="0" r="133">
      <c r="A133" s="35" t="n">
        <v>45391</v>
      </c>
      <c r="B133" s="2" t="s">
        <v>1163</v>
      </c>
      <c r="C133" s="2" t="s">
        <v>141</v>
      </c>
      <c r="D133" s="2" t="s">
        <v>142</v>
      </c>
      <c r="E133" s="6" t="n">
        <v>1000</v>
      </c>
      <c r="F133" s="7" t="n">
        <v>2</v>
      </c>
      <c r="G133" s="6" t="n">
        <v>51.31</v>
      </c>
      <c r="H133" s="6" t="n">
        <v>13</v>
      </c>
      <c r="I133" s="6" t="n">
        <v>102.62</v>
      </c>
      <c r="J133" s="6" t="n">
        <v>89.62</v>
      </c>
    </row>
    <row collapsed="false" customFormat="false" customHeight="false" hidden="false" ht="12.1" outlineLevel="0" r="134">
      <c r="A134" s="35" t="n">
        <v>45398</v>
      </c>
      <c r="B134" s="2" t="s">
        <v>1163</v>
      </c>
      <c r="C134" s="2" t="s">
        <v>114</v>
      </c>
      <c r="D134" s="2" t="s">
        <v>115</v>
      </c>
      <c r="E134" s="6" t="n">
        <v>1000</v>
      </c>
      <c r="F134" s="7" t="n">
        <v>5</v>
      </c>
      <c r="G134" s="6" t="n">
        <v>38.15</v>
      </c>
      <c r="H134" s="6" t="n">
        <v>25</v>
      </c>
      <c r="I134" s="6" t="n">
        <v>190.75</v>
      </c>
      <c r="J134" s="6" t="n">
        <v>165.75</v>
      </c>
    </row>
    <row collapsed="false" customFormat="false" customHeight="false" hidden="false" ht="12.1" outlineLevel="0" r="135">
      <c r="A135" s="35" t="n">
        <v>45402</v>
      </c>
      <c r="B135" s="2" t="s">
        <v>1163</v>
      </c>
      <c r="C135" s="2" t="s">
        <v>234</v>
      </c>
      <c r="D135" s="2" t="s">
        <v>235</v>
      </c>
      <c r="E135" s="6" t="n">
        <v>1000</v>
      </c>
      <c r="F135" s="7" t="n">
        <v>1</v>
      </c>
      <c r="G135" s="6" t="n">
        <v>14.43</v>
      </c>
      <c r="H135" s="6" t="n">
        <v>2</v>
      </c>
      <c r="I135" s="6" t="n">
        <v>14.43</v>
      </c>
      <c r="J135" s="6" t="n">
        <v>12.43</v>
      </c>
    </row>
    <row collapsed="false" customFormat="false" customHeight="false" hidden="false" ht="12.1" outlineLevel="0" r="136">
      <c r="A136" s="35" t="n">
        <v>45404</v>
      </c>
      <c r="B136" s="2" t="s">
        <v>1163</v>
      </c>
      <c r="C136" s="2" t="s">
        <v>308</v>
      </c>
      <c r="D136" s="2" t="s">
        <v>309</v>
      </c>
      <c r="E136" s="6" t="n">
        <v>1000</v>
      </c>
      <c r="F136" s="7" t="n">
        <v>1</v>
      </c>
      <c r="G136" s="6" t="n">
        <v>34.28</v>
      </c>
      <c r="H136" s="6" t="n">
        <v>4</v>
      </c>
      <c r="I136" s="6" t="n">
        <v>34.28</v>
      </c>
      <c r="J136" s="6" t="n">
        <v>30.28</v>
      </c>
    </row>
    <row collapsed="false" customFormat="false" customHeight="false" hidden="false" ht="12.1" outlineLevel="0" r="137">
      <c r="A137" s="35" t="n">
        <v>45405</v>
      </c>
      <c r="B137" s="2" t="s">
        <v>1163</v>
      </c>
      <c r="C137" s="2" t="s">
        <v>183</v>
      </c>
      <c r="D137" s="2" t="s">
        <v>184</v>
      </c>
      <c r="E137" s="6" t="n">
        <v>1000</v>
      </c>
      <c r="F137" s="7" t="n">
        <v>2</v>
      </c>
      <c r="G137" s="6" t="n">
        <v>14.59</v>
      </c>
      <c r="H137" s="6" t="n">
        <v>4</v>
      </c>
      <c r="I137" s="6" t="n">
        <v>29.18</v>
      </c>
      <c r="J137" s="6" t="n">
        <v>25.18</v>
      </c>
    </row>
    <row collapsed="false" customFormat="false" customHeight="false" hidden="false" ht="12.1" outlineLevel="0" r="138">
      <c r="A138" s="35" t="n">
        <v>45405</v>
      </c>
      <c r="B138" s="2" t="s">
        <v>1163</v>
      </c>
      <c r="C138" s="2" t="s">
        <v>237</v>
      </c>
      <c r="D138" s="2" t="s">
        <v>238</v>
      </c>
      <c r="E138" s="6" t="n">
        <v>1000</v>
      </c>
      <c r="F138" s="7" t="n">
        <v>1</v>
      </c>
      <c r="G138" s="6" t="n">
        <v>43.1</v>
      </c>
      <c r="H138" s="6" t="n">
        <v>6</v>
      </c>
      <c r="I138" s="6" t="n">
        <v>43.1</v>
      </c>
      <c r="J138" s="6" t="n">
        <v>37.1</v>
      </c>
    </row>
    <row collapsed="false" customFormat="false" customHeight="false" hidden="false" ht="12.1" outlineLevel="0" r="139">
      <c r="A139" s="35" t="n">
        <v>45405</v>
      </c>
      <c r="B139" s="2" t="s">
        <v>1163</v>
      </c>
      <c r="C139" s="2" t="s">
        <v>760</v>
      </c>
      <c r="D139" s="2" t="s">
        <v>1166</v>
      </c>
      <c r="E139" s="6" t="n">
        <v>1000</v>
      </c>
      <c r="F139" s="7" t="n">
        <v>1</v>
      </c>
      <c r="G139" s="6" t="n">
        <v>39.13</v>
      </c>
      <c r="H139" s="6" t="n">
        <v>5</v>
      </c>
      <c r="I139" s="6" t="n">
        <v>39.13</v>
      </c>
      <c r="J139" s="6" t="n">
        <v>34.13</v>
      </c>
    </row>
    <row collapsed="false" customFormat="false" customHeight="false" hidden="false" ht="12.1" outlineLevel="0" r="140">
      <c r="A140" s="35" t="n">
        <v>45411</v>
      </c>
      <c r="B140" s="2" t="s">
        <v>1163</v>
      </c>
      <c r="C140" s="2" t="s">
        <v>291</v>
      </c>
      <c r="D140" s="2" t="s">
        <v>292</v>
      </c>
      <c r="E140" s="6" t="n">
        <v>1000</v>
      </c>
      <c r="F140" s="7" t="n">
        <v>1</v>
      </c>
      <c r="G140" s="6" t="n">
        <v>28.22</v>
      </c>
      <c r="H140" s="6" t="n">
        <v>4</v>
      </c>
      <c r="I140" s="6" t="n">
        <v>28.22</v>
      </c>
      <c r="J140" s="6" t="n">
        <v>24.22</v>
      </c>
    </row>
    <row collapsed="false" customFormat="false" customHeight="false" hidden="false" ht="12.1" outlineLevel="0" r="141">
      <c r="A141" s="35" t="n">
        <v>45412</v>
      </c>
      <c r="B141" s="2" t="s">
        <v>1163</v>
      </c>
      <c r="C141" s="2" t="s">
        <v>246</v>
      </c>
      <c r="D141" s="2" t="s">
        <v>247</v>
      </c>
      <c r="E141" s="6" t="n">
        <v>1000</v>
      </c>
      <c r="F141" s="7" t="n">
        <v>1</v>
      </c>
      <c r="G141" s="6" t="n">
        <v>39.1</v>
      </c>
      <c r="H141" s="6" t="n">
        <v>5</v>
      </c>
      <c r="I141" s="6" t="n">
        <v>39.1</v>
      </c>
      <c r="J141" s="6" t="n">
        <v>34.1</v>
      </c>
    </row>
    <row collapsed="false" customFormat="false" customHeight="false" hidden="false" ht="12.1" outlineLevel="0" r="142">
      <c r="A142" s="35" t="n">
        <v>45413</v>
      </c>
      <c r="B142" s="2" t="s">
        <v>1163</v>
      </c>
      <c r="C142" s="2" t="s">
        <v>761</v>
      </c>
      <c r="D142" s="2" t="s">
        <v>1167</v>
      </c>
      <c r="E142" s="6" t="n">
        <v>1000</v>
      </c>
      <c r="F142" s="7" t="n">
        <v>1</v>
      </c>
      <c r="G142" s="6" t="n">
        <v>42.38</v>
      </c>
      <c r="H142" s="6" t="n">
        <v>6</v>
      </c>
      <c r="I142" s="6" t="n">
        <v>42.38</v>
      </c>
      <c r="J142" s="6" t="n">
        <v>36.38</v>
      </c>
    </row>
    <row collapsed="false" customFormat="false" customHeight="false" hidden="false" ht="12.1" outlineLevel="0" r="143">
      <c r="A143" s="35" t="n">
        <v>45426</v>
      </c>
      <c r="B143" s="2" t="s">
        <v>1163</v>
      </c>
      <c r="C143" s="2" t="s">
        <v>105</v>
      </c>
      <c r="D143" s="2" t="s">
        <v>106</v>
      </c>
      <c r="E143" s="6" t="n">
        <v>1000</v>
      </c>
      <c r="F143" s="7" t="n">
        <v>3</v>
      </c>
      <c r="G143" s="6" t="n">
        <v>57.84</v>
      </c>
      <c r="H143" s="6" t="n">
        <v>23</v>
      </c>
      <c r="I143" s="6" t="n">
        <v>173.52</v>
      </c>
      <c r="J143" s="6" t="n">
        <v>150.52</v>
      </c>
    </row>
    <row collapsed="false" customFormat="false" customHeight="false" hidden="false" ht="12.1" outlineLevel="0" r="144">
      <c r="A144" s="35" t="n">
        <v>45426</v>
      </c>
      <c r="B144" s="2" t="s">
        <v>1163</v>
      </c>
      <c r="C144" s="2" t="s">
        <v>314</v>
      </c>
      <c r="D144" s="2" t="s">
        <v>315</v>
      </c>
      <c r="E144" s="6" t="n">
        <v>300</v>
      </c>
      <c r="F144" s="7" t="n">
        <v>1</v>
      </c>
      <c r="G144" s="6" t="n">
        <v>4.67</v>
      </c>
      <c r="H144" s="6" t="n">
        <v>1</v>
      </c>
      <c r="I144" s="6" t="n">
        <v>4.67</v>
      </c>
      <c r="J144" s="6" t="n">
        <v>3.67</v>
      </c>
    </row>
    <row collapsed="false" customFormat="false" customHeight="false" hidden="false" ht="12.1" outlineLevel="0" r="145">
      <c r="A145" s="35" t="n">
        <v>45431</v>
      </c>
      <c r="B145" s="2" t="s">
        <v>1163</v>
      </c>
      <c r="C145" s="2" t="s">
        <v>766</v>
      </c>
      <c r="D145" s="2" t="s">
        <v>1169</v>
      </c>
      <c r="E145" s="6" t="n">
        <v>1000</v>
      </c>
      <c r="F145" s="7" t="n">
        <v>2</v>
      </c>
      <c r="G145" s="6" t="n">
        <v>32.41</v>
      </c>
      <c r="H145" s="6" t="n">
        <v>8</v>
      </c>
      <c r="I145" s="6" t="n">
        <v>64.82</v>
      </c>
      <c r="J145" s="6" t="n">
        <v>56.82</v>
      </c>
    </row>
    <row collapsed="false" customFormat="false" customHeight="false" hidden="false" ht="12.1" outlineLevel="0" r="146">
      <c r="A146" s="35" t="n">
        <v>45433</v>
      </c>
      <c r="B146" s="2" t="s">
        <v>1163</v>
      </c>
      <c r="C146" s="2" t="s">
        <v>150</v>
      </c>
      <c r="D146" s="2" t="s">
        <v>151</v>
      </c>
      <c r="E146" s="6" t="n">
        <v>1000</v>
      </c>
      <c r="F146" s="7" t="n">
        <v>6</v>
      </c>
      <c r="G146" s="6" t="n">
        <v>13.63</v>
      </c>
      <c r="H146" s="6" t="n">
        <v>11</v>
      </c>
      <c r="I146" s="6" t="n">
        <v>81.78</v>
      </c>
      <c r="J146" s="6" t="n">
        <v>70.78</v>
      </c>
    </row>
    <row collapsed="false" customFormat="false" customHeight="false" hidden="false" ht="12.1" outlineLevel="0" r="147">
      <c r="A147" s="35" t="n">
        <v>45433</v>
      </c>
      <c r="B147" s="2" t="s">
        <v>1163</v>
      </c>
      <c r="C147" s="2" t="s">
        <v>234</v>
      </c>
      <c r="D147" s="2" t="s">
        <v>235</v>
      </c>
      <c r="E147" s="6" t="n">
        <v>1000</v>
      </c>
      <c r="F147" s="7" t="n">
        <v>1</v>
      </c>
      <c r="G147" s="6" t="n">
        <v>14.4</v>
      </c>
      <c r="H147" s="6" t="n">
        <v>2</v>
      </c>
      <c r="I147" s="6" t="n">
        <v>14.4</v>
      </c>
      <c r="J147" s="6" t="n">
        <v>12.4</v>
      </c>
    </row>
    <row collapsed="false" customFormat="false" customHeight="false" hidden="false" ht="12.1" outlineLevel="0" r="148">
      <c r="A148" s="35" t="n">
        <v>45433</v>
      </c>
      <c r="B148" s="2" t="s">
        <v>1163</v>
      </c>
      <c r="C148" s="2" t="s">
        <v>762</v>
      </c>
      <c r="D148" s="2" t="s">
        <v>1165</v>
      </c>
      <c r="E148" s="6" t="n">
        <v>250</v>
      </c>
      <c r="F148" s="7" t="n">
        <v>1</v>
      </c>
      <c r="G148" s="6" t="n">
        <v>5.36</v>
      </c>
      <c r="H148" s="6" t="n">
        <v>1</v>
      </c>
      <c r="I148" s="6" t="n">
        <v>5.36</v>
      </c>
      <c r="J148" s="6" t="n">
        <v>4.36</v>
      </c>
    </row>
    <row collapsed="false" customFormat="false" customHeight="false" hidden="false" ht="12.1" outlineLevel="0" r="149">
      <c r="A149" s="35" t="n">
        <v>45433</v>
      </c>
      <c r="B149" s="2" t="s">
        <v>1163</v>
      </c>
      <c r="C149" s="2" t="s">
        <v>135</v>
      </c>
      <c r="D149" s="2" t="s">
        <v>136</v>
      </c>
      <c r="E149" s="6" t="n">
        <v>1000</v>
      </c>
      <c r="F149" s="7" t="n">
        <v>9</v>
      </c>
      <c r="G149" s="6" t="n">
        <v>36.15</v>
      </c>
      <c r="H149" s="6" t="n">
        <v>42</v>
      </c>
      <c r="I149" s="6" t="n">
        <v>325.35</v>
      </c>
      <c r="J149" s="6" t="n">
        <v>283.35</v>
      </c>
    </row>
    <row collapsed="false" customFormat="false" customHeight="false" hidden="false" ht="12.1" outlineLevel="0" r="150">
      <c r="A150" s="35" t="n">
        <v>45434</v>
      </c>
      <c r="B150" s="2" t="s">
        <v>1163</v>
      </c>
      <c r="C150" s="2" t="s">
        <v>311</v>
      </c>
      <c r="D150" s="2" t="s">
        <v>312</v>
      </c>
      <c r="E150" s="6" t="n">
        <v>500</v>
      </c>
      <c r="F150" s="7" t="n">
        <v>1</v>
      </c>
      <c r="G150" s="6" t="n">
        <v>8.66</v>
      </c>
      <c r="H150" s="6" t="n">
        <v>1</v>
      </c>
      <c r="I150" s="6" t="n">
        <v>8.66</v>
      </c>
      <c r="J150" s="6" t="n">
        <v>7.66</v>
      </c>
    </row>
    <row collapsed="false" customFormat="false" customHeight="false" hidden="false" ht="12.1" outlineLevel="0" r="151">
      <c r="A151" s="35" t="n">
        <v>45436</v>
      </c>
      <c r="B151" s="2" t="s">
        <v>1163</v>
      </c>
      <c r="C151" s="2" t="s">
        <v>183</v>
      </c>
      <c r="D151" s="2" t="s">
        <v>184</v>
      </c>
      <c r="E151" s="6" t="n">
        <v>1000</v>
      </c>
      <c r="F151" s="7" t="n">
        <v>2</v>
      </c>
      <c r="G151" s="6" t="n">
        <v>14.57</v>
      </c>
      <c r="H151" s="6" t="n">
        <v>4</v>
      </c>
      <c r="I151" s="6" t="n">
        <v>29.14</v>
      </c>
      <c r="J151" s="6" t="n">
        <v>25.14</v>
      </c>
    </row>
    <row collapsed="false" customFormat="false" customHeight="false" hidden="false" ht="12.1" outlineLevel="0" r="152">
      <c r="A152" s="35" t="n">
        <v>45440</v>
      </c>
      <c r="B152" s="2" t="s">
        <v>1163</v>
      </c>
      <c r="C152" s="2" t="s">
        <v>123</v>
      </c>
      <c r="D152" s="2" t="s">
        <v>124</v>
      </c>
      <c r="E152" s="6" t="n">
        <v>1000</v>
      </c>
      <c r="F152" s="7" t="n">
        <v>6</v>
      </c>
      <c r="G152" s="6" t="n">
        <v>47.37</v>
      </c>
      <c r="H152" s="6" t="n">
        <v>37</v>
      </c>
      <c r="I152" s="6" t="n">
        <v>284.22</v>
      </c>
      <c r="J152" s="6" t="n">
        <v>247.22</v>
      </c>
    </row>
    <row collapsed="false" customFormat="false" customHeight="false" hidden="false" ht="12.1" outlineLevel="0" r="153">
      <c r="A153" s="35" t="n">
        <v>45442</v>
      </c>
      <c r="B153" s="2" t="s">
        <v>1163</v>
      </c>
      <c r="C153" s="2" t="s">
        <v>276</v>
      </c>
      <c r="D153" s="2" t="s">
        <v>277</v>
      </c>
      <c r="E153" s="6" t="n">
        <v>1000</v>
      </c>
      <c r="F153" s="7" t="n">
        <v>1</v>
      </c>
      <c r="G153" s="6" t="n">
        <v>24.81</v>
      </c>
      <c r="H153" s="6" t="n">
        <v>3</v>
      </c>
      <c r="I153" s="6" t="n">
        <v>24.81</v>
      </c>
      <c r="J153" s="6" t="n">
        <v>21.81</v>
      </c>
    </row>
    <row collapsed="false" customFormat="false" customHeight="false" hidden="false" ht="12.1" outlineLevel="0" r="154">
      <c r="A154" s="35" t="n">
        <v>45445</v>
      </c>
      <c r="B154" s="2" t="s">
        <v>1163</v>
      </c>
      <c r="C154" s="2" t="s">
        <v>192</v>
      </c>
      <c r="D154" s="2" t="s">
        <v>193</v>
      </c>
      <c r="E154" s="6" t="n">
        <v>1000</v>
      </c>
      <c r="F154" s="7" t="n">
        <v>1</v>
      </c>
      <c r="G154" s="6" t="n">
        <v>19.95</v>
      </c>
      <c r="H154" s="6" t="n">
        <v>3</v>
      </c>
      <c r="I154" s="6" t="n">
        <v>19.95</v>
      </c>
      <c r="J154" s="6" t="n">
        <v>16.95</v>
      </c>
    </row>
    <row collapsed="false" customFormat="false" customHeight="false" hidden="false" ht="12.1" outlineLevel="0" r="155">
      <c r="A155" s="35" t="n">
        <v>45446</v>
      </c>
      <c r="B155" s="2" t="s">
        <v>1163</v>
      </c>
      <c r="C155" s="2" t="s">
        <v>255</v>
      </c>
      <c r="D155" s="2" t="s">
        <v>256</v>
      </c>
      <c r="E155" s="6" t="n">
        <v>1000</v>
      </c>
      <c r="F155" s="7" t="n">
        <v>1</v>
      </c>
      <c r="G155" s="6" t="n">
        <v>56.1</v>
      </c>
      <c r="H155" s="6" t="n">
        <v>7</v>
      </c>
      <c r="I155" s="6" t="n">
        <v>56.1</v>
      </c>
      <c r="J155" s="6" t="n">
        <v>49.1</v>
      </c>
    </row>
    <row collapsed="false" customFormat="false" customHeight="false" hidden="false" ht="12.1" outlineLevel="0" r="156">
      <c r="A156" s="35" t="n">
        <v>45447</v>
      </c>
      <c r="B156" s="2" t="s">
        <v>1163</v>
      </c>
      <c r="C156" s="2" t="s">
        <v>186</v>
      </c>
      <c r="D156" s="2" t="s">
        <v>187</v>
      </c>
      <c r="E156" s="6" t="n">
        <v>1000</v>
      </c>
      <c r="F156" s="7" t="n">
        <v>2</v>
      </c>
      <c r="G156" s="6" t="n">
        <v>32.66</v>
      </c>
      <c r="H156" s="6" t="n">
        <v>8</v>
      </c>
      <c r="I156" s="6" t="n">
        <v>65.32</v>
      </c>
      <c r="J156" s="6" t="n">
        <v>57.32</v>
      </c>
    </row>
    <row collapsed="false" customFormat="false" customHeight="false" hidden="false" ht="12.1" outlineLevel="0" r="157">
      <c r="A157" s="35" t="n">
        <v>45447</v>
      </c>
      <c r="B157" s="2" t="s">
        <v>1163</v>
      </c>
      <c r="C157" s="2" t="s">
        <v>120</v>
      </c>
      <c r="D157" s="2" t="s">
        <v>121</v>
      </c>
      <c r="E157" s="6" t="n">
        <v>1000</v>
      </c>
      <c r="F157" s="7" t="n">
        <v>8</v>
      </c>
      <c r="G157" s="6" t="n">
        <v>48.87</v>
      </c>
      <c r="H157" s="6" t="n">
        <v>51</v>
      </c>
      <c r="I157" s="6" t="n">
        <v>390.96</v>
      </c>
      <c r="J157" s="6" t="n">
        <v>339.96</v>
      </c>
    </row>
    <row collapsed="false" customFormat="false" customHeight="false" hidden="false" ht="12.1" outlineLevel="0" r="158">
      <c r="A158" s="35" t="n">
        <v>45447</v>
      </c>
      <c r="B158" s="2" t="s">
        <v>1163</v>
      </c>
      <c r="C158" s="2" t="s">
        <v>306</v>
      </c>
      <c r="D158" s="2" t="s">
        <v>307</v>
      </c>
      <c r="E158" s="6" t="n">
        <v>1000</v>
      </c>
      <c r="F158" s="7" t="n">
        <v>1</v>
      </c>
      <c r="G158" s="6" t="n">
        <v>19.87</v>
      </c>
      <c r="H158" s="6" t="n">
        <v>3</v>
      </c>
      <c r="I158" s="6" t="n">
        <v>19.87</v>
      </c>
      <c r="J158" s="6" t="n">
        <v>16.87</v>
      </c>
    </row>
    <row collapsed="false" customFormat="false" customHeight="false" hidden="false" ht="12.1" outlineLevel="0" r="159">
      <c r="A159" s="35" t="n">
        <v>45447</v>
      </c>
      <c r="B159" s="2" t="s">
        <v>1163</v>
      </c>
      <c r="C159" s="2" t="s">
        <v>102</v>
      </c>
      <c r="D159" s="2" t="s">
        <v>103</v>
      </c>
      <c r="E159" s="6" t="n">
        <v>1000</v>
      </c>
      <c r="F159" s="7" t="n">
        <v>18</v>
      </c>
      <c r="G159" s="6" t="n">
        <v>35.4</v>
      </c>
      <c r="H159" s="6" t="n">
        <v>83</v>
      </c>
      <c r="I159" s="6" t="n">
        <v>637.2</v>
      </c>
      <c r="J159" s="6" t="n">
        <v>554.2</v>
      </c>
    </row>
    <row collapsed="false" customFormat="false" customHeight="false" hidden="false" ht="12.1" outlineLevel="0" r="160">
      <c r="A160" s="35" t="n">
        <v>45448</v>
      </c>
      <c r="B160" s="2" t="s">
        <v>1163</v>
      </c>
      <c r="C160" s="2" t="s">
        <v>317</v>
      </c>
      <c r="D160" s="2" t="s">
        <v>318</v>
      </c>
      <c r="E160" s="6" t="n">
        <v>531</v>
      </c>
      <c r="F160" s="7" t="n">
        <v>1</v>
      </c>
      <c r="G160" s="6" t="n">
        <v>13.11</v>
      </c>
      <c r="H160" s="6" t="n">
        <v>2</v>
      </c>
      <c r="I160" s="6" t="n">
        <v>13.11</v>
      </c>
      <c r="J160" s="6" t="n">
        <v>11.11</v>
      </c>
    </row>
    <row collapsed="false" customFormat="false" customHeight="false" hidden="false" ht="12.1" outlineLevel="0" r="161">
      <c r="A161" s="35" t="n">
        <v>45453</v>
      </c>
      <c r="B161" s="2" t="s">
        <v>1163</v>
      </c>
      <c r="C161" s="2" t="s">
        <v>288</v>
      </c>
      <c r="D161" s="2" t="s">
        <v>289</v>
      </c>
      <c r="E161" s="6" t="n">
        <v>895</v>
      </c>
      <c r="F161" s="7" t="n">
        <v>1</v>
      </c>
      <c r="G161" s="6" t="n">
        <v>30.12</v>
      </c>
      <c r="H161" s="6" t="n">
        <v>4</v>
      </c>
      <c r="I161" s="6" t="n">
        <v>30.12</v>
      </c>
      <c r="J161" s="6" t="n">
        <v>26.12</v>
      </c>
    </row>
    <row collapsed="false" customFormat="false" customHeight="false" hidden="false" ht="12.1" outlineLevel="0" r="162">
      <c r="A162" s="35" t="n">
        <v>45461</v>
      </c>
      <c r="B162" s="2" t="s">
        <v>1163</v>
      </c>
      <c r="C162" s="2" t="s">
        <v>99</v>
      </c>
      <c r="D162" s="2" t="s">
        <v>100</v>
      </c>
      <c r="E162" s="6" t="n">
        <v>1000</v>
      </c>
      <c r="F162" s="7" t="n">
        <v>7</v>
      </c>
      <c r="G162" s="6" t="n">
        <v>65.77</v>
      </c>
      <c r="H162" s="6" t="n">
        <v>60</v>
      </c>
      <c r="I162" s="6" t="n">
        <v>460.39</v>
      </c>
      <c r="J162" s="6" t="n">
        <v>400.39</v>
      </c>
    </row>
    <row collapsed="false" customFormat="false" customHeight="false" hidden="false" ht="12.1" outlineLevel="0" r="163">
      <c r="A163" s="35" t="n">
        <v>45464</v>
      </c>
      <c r="B163" s="2" t="s">
        <v>1163</v>
      </c>
      <c r="C163" s="2" t="s">
        <v>234</v>
      </c>
      <c r="D163" s="2" t="s">
        <v>235</v>
      </c>
      <c r="E163" s="6" t="n">
        <v>1000</v>
      </c>
      <c r="F163" s="7" t="n">
        <v>1</v>
      </c>
      <c r="G163" s="6" t="n">
        <v>14.58</v>
      </c>
      <c r="H163" s="6" t="n">
        <v>2</v>
      </c>
      <c r="I163" s="6" t="n">
        <v>14.58</v>
      </c>
      <c r="J163" s="6" t="n">
        <v>12.58</v>
      </c>
    </row>
    <row collapsed="false" customFormat="false" customHeight="false" hidden="false" ht="12.1" outlineLevel="0" r="164">
      <c r="A164" s="35" t="n">
        <v>45467</v>
      </c>
      <c r="B164" s="2" t="s">
        <v>1163</v>
      </c>
      <c r="C164" s="2" t="s">
        <v>183</v>
      </c>
      <c r="D164" s="2" t="s">
        <v>184</v>
      </c>
      <c r="E164" s="6" t="n">
        <v>1000</v>
      </c>
      <c r="F164" s="7" t="n">
        <v>2</v>
      </c>
      <c r="G164" s="6" t="n">
        <v>14.76</v>
      </c>
      <c r="H164" s="6" t="n">
        <v>4</v>
      </c>
      <c r="I164" s="6" t="n">
        <v>29.52</v>
      </c>
      <c r="J164" s="6" t="n">
        <v>25.52</v>
      </c>
    </row>
    <row collapsed="false" customFormat="false" customHeight="false" hidden="false" ht="12.1" outlineLevel="0" r="165">
      <c r="A165" s="35" t="n">
        <v>45467</v>
      </c>
      <c r="B165" s="2" t="s">
        <v>1163</v>
      </c>
      <c r="C165" s="2" t="s">
        <v>769</v>
      </c>
      <c r="D165" s="2" t="s">
        <v>1170</v>
      </c>
      <c r="E165" s="6" t="n">
        <v>600</v>
      </c>
      <c r="F165" s="7" t="n">
        <v>1</v>
      </c>
      <c r="G165" s="6" t="n">
        <v>15.71</v>
      </c>
      <c r="H165" s="6" t="n">
        <v>2</v>
      </c>
      <c r="I165" s="6" t="n">
        <v>15.71</v>
      </c>
      <c r="J165" s="6" t="n">
        <v>13.71</v>
      </c>
    </row>
    <row collapsed="false" customFormat="false" customHeight="false" hidden="false" ht="12.1" outlineLevel="0" r="166">
      <c r="A166" s="35" t="n">
        <v>45470</v>
      </c>
      <c r="B166" s="2" t="s">
        <v>1163</v>
      </c>
      <c r="C166" s="2" t="s">
        <v>213</v>
      </c>
      <c r="D166" s="2" t="s">
        <v>214</v>
      </c>
      <c r="E166" s="6" t="n">
        <v>1000</v>
      </c>
      <c r="F166" s="7" t="n">
        <v>2</v>
      </c>
      <c r="G166" s="6" t="n">
        <v>32.91</v>
      </c>
      <c r="H166" s="6" t="n">
        <v>9</v>
      </c>
      <c r="I166" s="6" t="n">
        <v>65.82</v>
      </c>
      <c r="J166" s="6" t="n">
        <v>56.82</v>
      </c>
    </row>
    <row collapsed="false" customFormat="false" customHeight="false" hidden="false" ht="12.1" outlineLevel="0" r="167">
      <c r="A167" s="35" t="n">
        <v>45476</v>
      </c>
      <c r="B167" s="2" t="s">
        <v>1163</v>
      </c>
      <c r="C167" s="2" t="s">
        <v>320</v>
      </c>
      <c r="D167" s="2" t="s">
        <v>321</v>
      </c>
      <c r="E167" s="6" t="n">
        <v>400</v>
      </c>
      <c r="F167" s="7" t="n">
        <v>1</v>
      </c>
      <c r="G167" s="6" t="n">
        <v>13.96</v>
      </c>
      <c r="H167" s="6" t="n">
        <v>2</v>
      </c>
      <c r="I167" s="6" t="n">
        <v>13.96</v>
      </c>
      <c r="J167" s="6" t="n">
        <v>11.96</v>
      </c>
    </row>
    <row collapsed="false" customFormat="false" customHeight="false" hidden="false" ht="12.1" outlineLevel="0" r="168">
      <c r="A168" s="35" t="n">
        <v>45489</v>
      </c>
      <c r="B168" s="2" t="s">
        <v>1163</v>
      </c>
      <c r="C168" s="2" t="s">
        <v>177</v>
      </c>
      <c r="D168" s="2" t="s">
        <v>178</v>
      </c>
      <c r="E168" s="6" t="n">
        <v>1000</v>
      </c>
      <c r="F168" s="7" t="n">
        <v>2</v>
      </c>
      <c r="G168" s="6" t="n">
        <v>22.44</v>
      </c>
      <c r="H168" s="6" t="n">
        <v>6</v>
      </c>
      <c r="I168" s="6" t="n">
        <v>44.88</v>
      </c>
      <c r="J168" s="6" t="n">
        <v>38.88</v>
      </c>
    </row>
    <row collapsed="false" customFormat="false" customHeight="false" hidden="false" ht="12.1" outlineLevel="0" r="169">
      <c r="A169" s="35" t="n">
        <v>45495</v>
      </c>
      <c r="B169" s="2" t="s">
        <v>1163</v>
      </c>
      <c r="C169" s="2" t="s">
        <v>308</v>
      </c>
      <c r="D169" s="2" t="s">
        <v>309</v>
      </c>
      <c r="E169" s="6" t="n">
        <v>1000</v>
      </c>
      <c r="F169" s="7" t="n">
        <v>1</v>
      </c>
      <c r="G169" s="6" t="n">
        <v>34.28</v>
      </c>
      <c r="H169" s="6" t="n">
        <v>4</v>
      </c>
      <c r="I169" s="6" t="n">
        <v>34.28</v>
      </c>
      <c r="J169" s="6" t="n">
        <v>30.28</v>
      </c>
    </row>
    <row collapsed="false" customFormat="false" customHeight="false" hidden="false" ht="12.1" outlineLevel="0" r="170">
      <c r="A170" s="35" t="n">
        <v>45495</v>
      </c>
      <c r="B170" s="2" t="s">
        <v>1163</v>
      </c>
      <c r="C170" s="2" t="s">
        <v>234</v>
      </c>
      <c r="D170" s="2" t="s">
        <v>235</v>
      </c>
      <c r="E170" s="6" t="n">
        <v>1000</v>
      </c>
      <c r="F170" s="7" t="n">
        <v>1</v>
      </c>
      <c r="G170" s="6" t="n">
        <v>14.59</v>
      </c>
      <c r="H170" s="6" t="n">
        <v>2</v>
      </c>
      <c r="I170" s="6" t="n">
        <v>14.59</v>
      </c>
      <c r="J170" s="6" t="n">
        <v>12.59</v>
      </c>
    </row>
    <row collapsed="false" customFormat="false" customHeight="false" hidden="false" ht="12.1" outlineLevel="0" r="171">
      <c r="A171" s="35" t="n">
        <v>45496</v>
      </c>
      <c r="B171" s="2" t="s">
        <v>1163</v>
      </c>
      <c r="C171" s="2" t="s">
        <v>237</v>
      </c>
      <c r="D171" s="2" t="s">
        <v>238</v>
      </c>
      <c r="E171" s="6" t="n">
        <v>1000</v>
      </c>
      <c r="F171" s="7" t="n">
        <v>1</v>
      </c>
      <c r="G171" s="6" t="n">
        <v>43.42</v>
      </c>
      <c r="H171" s="6" t="n">
        <v>6</v>
      </c>
      <c r="I171" s="6" t="n">
        <v>43.42</v>
      </c>
      <c r="J171" s="6" t="n">
        <v>37.42</v>
      </c>
    </row>
    <row collapsed="false" customFormat="false" customHeight="false" hidden="false" ht="12.1" outlineLevel="0" r="172">
      <c r="A172" s="35" t="n">
        <v>45496</v>
      </c>
      <c r="B172" s="2" t="s">
        <v>1163</v>
      </c>
      <c r="C172" s="2" t="s">
        <v>270</v>
      </c>
      <c r="D172" s="2" t="s">
        <v>271</v>
      </c>
      <c r="E172" s="6" t="n">
        <v>1000</v>
      </c>
      <c r="F172" s="7" t="n">
        <v>1</v>
      </c>
      <c r="G172" s="6" t="n">
        <v>43.38</v>
      </c>
      <c r="H172" s="6" t="n">
        <v>6</v>
      </c>
      <c r="I172" s="6" t="n">
        <v>43.38</v>
      </c>
      <c r="J172" s="6" t="n">
        <v>37.38</v>
      </c>
    </row>
    <row collapsed="false" customFormat="false" customHeight="false" hidden="false" ht="12.1" outlineLevel="0" r="173">
      <c r="A173" s="35" t="n">
        <v>45498</v>
      </c>
      <c r="B173" s="2" t="s">
        <v>1163</v>
      </c>
      <c r="C173" s="2" t="s">
        <v>768</v>
      </c>
      <c r="D173" s="2" t="s">
        <v>1171</v>
      </c>
      <c r="E173" s="6" t="n">
        <v>1000</v>
      </c>
      <c r="F173" s="7" t="n">
        <v>1</v>
      </c>
      <c r="G173" s="6" t="n">
        <v>47.12</v>
      </c>
      <c r="H173" s="6" t="n">
        <v>6</v>
      </c>
      <c r="I173" s="6" t="n">
        <v>47.12</v>
      </c>
      <c r="J173" s="6" t="n">
        <v>41.12</v>
      </c>
    </row>
    <row collapsed="false" customFormat="false" customHeight="false" hidden="false" ht="12.1" outlineLevel="0" r="174">
      <c r="A174" s="35" t="n">
        <v>45498</v>
      </c>
      <c r="B174" s="2" t="s">
        <v>1163</v>
      </c>
      <c r="C174" s="2" t="s">
        <v>183</v>
      </c>
      <c r="D174" s="2" t="s">
        <v>184</v>
      </c>
      <c r="E174" s="6" t="n">
        <v>1000</v>
      </c>
      <c r="F174" s="7" t="n">
        <v>2</v>
      </c>
      <c r="G174" s="6" t="n">
        <v>14.74</v>
      </c>
      <c r="H174" s="6" t="n">
        <v>4</v>
      </c>
      <c r="I174" s="6" t="n">
        <v>29.48</v>
      </c>
      <c r="J174" s="6" t="n">
        <v>25.48</v>
      </c>
    </row>
    <row collapsed="false" customFormat="false" customHeight="false" hidden="false" ht="12.1" outlineLevel="0" r="175">
      <c r="A175" s="35" t="n">
        <v>45501</v>
      </c>
      <c r="B175" s="2" t="s">
        <v>1163</v>
      </c>
      <c r="C175" s="2" t="s">
        <v>180</v>
      </c>
      <c r="D175" s="2" t="s">
        <v>181</v>
      </c>
      <c r="E175" s="6" t="n">
        <v>1000</v>
      </c>
      <c r="F175" s="7" t="n">
        <v>2</v>
      </c>
      <c r="G175" s="6" t="n">
        <v>14.05</v>
      </c>
      <c r="H175" s="6" t="n">
        <v>4</v>
      </c>
      <c r="I175" s="6" t="n">
        <v>28.1</v>
      </c>
      <c r="J175" s="6" t="n">
        <v>24.1</v>
      </c>
    </row>
    <row collapsed="false" customFormat="false" customHeight="false" hidden="false" ht="12.1" outlineLevel="0" r="176">
      <c r="A176" s="35" t="n">
        <v>45502</v>
      </c>
      <c r="B176" s="2" t="s">
        <v>1163</v>
      </c>
      <c r="C176" s="2" t="s">
        <v>189</v>
      </c>
      <c r="D176" s="2" t="s">
        <v>190</v>
      </c>
      <c r="E176" s="6" t="n">
        <v>1000</v>
      </c>
      <c r="F176" s="7" t="n">
        <v>1</v>
      </c>
      <c r="G176" s="6" t="n">
        <v>29.17</v>
      </c>
      <c r="H176" s="6" t="n">
        <v>4</v>
      </c>
      <c r="I176" s="6" t="n">
        <v>29.17</v>
      </c>
      <c r="J176" s="6" t="n">
        <v>25.17</v>
      </c>
    </row>
    <row collapsed="false" customFormat="false" customHeight="false" hidden="false" ht="12.1" outlineLevel="0" r="177">
      <c r="A177" s="35" t="n">
        <v>45502</v>
      </c>
      <c r="B177" s="2" t="s">
        <v>1163</v>
      </c>
      <c r="C177" s="2" t="s">
        <v>291</v>
      </c>
      <c r="D177" s="2" t="s">
        <v>292</v>
      </c>
      <c r="E177" s="6" t="n">
        <v>1000</v>
      </c>
      <c r="F177" s="7" t="n">
        <v>1</v>
      </c>
      <c r="G177" s="6" t="n">
        <v>28.22</v>
      </c>
      <c r="H177" s="6" t="n">
        <v>4</v>
      </c>
      <c r="I177" s="6" t="n">
        <v>28.22</v>
      </c>
      <c r="J177" s="6" t="n">
        <v>24.22</v>
      </c>
    </row>
    <row collapsed="false" customFormat="false" customHeight="false" hidden="false" ht="12.1" outlineLevel="0" r="178">
      <c r="A178" s="35" t="n">
        <v>45503</v>
      </c>
      <c r="B178" s="2" t="s">
        <v>1163</v>
      </c>
      <c r="C178" s="2" t="s">
        <v>95</v>
      </c>
      <c r="D178" s="2" t="s">
        <v>97</v>
      </c>
      <c r="E178" s="6" t="n">
        <v>1000</v>
      </c>
      <c r="F178" s="7" t="n">
        <v>30</v>
      </c>
      <c r="G178" s="6" t="n">
        <v>30.42</v>
      </c>
      <c r="H178" s="6" t="n">
        <v>119</v>
      </c>
      <c r="I178" s="6" t="n">
        <v>912.6</v>
      </c>
      <c r="J178" s="6" t="n">
        <v>793.6</v>
      </c>
    </row>
    <row collapsed="false" customFormat="false" customHeight="false" hidden="false" ht="12.1" outlineLevel="0" r="179">
      <c r="A179" s="35" t="n">
        <v>45503</v>
      </c>
      <c r="B179" s="2" t="s">
        <v>1163</v>
      </c>
      <c r="C179" s="2" t="s">
        <v>162</v>
      </c>
      <c r="D179" s="2" t="s">
        <v>163</v>
      </c>
      <c r="E179" s="6" t="n">
        <v>1000</v>
      </c>
      <c r="F179" s="7" t="n">
        <v>1</v>
      </c>
      <c r="G179" s="6" t="n">
        <v>34.41</v>
      </c>
      <c r="H179" s="6" t="n">
        <v>4</v>
      </c>
      <c r="I179" s="6" t="n">
        <v>34.41</v>
      </c>
      <c r="J179" s="6" t="n">
        <v>30.41</v>
      </c>
    </row>
    <row collapsed="false" customFormat="false" customHeight="false" hidden="false" ht="12.1" outlineLevel="0" r="180">
      <c r="A180" s="35" t="n">
        <v>45503</v>
      </c>
      <c r="B180" s="2" t="s">
        <v>1163</v>
      </c>
      <c r="C180" s="2" t="s">
        <v>765</v>
      </c>
      <c r="D180" s="2" t="s">
        <v>1168</v>
      </c>
      <c r="E180" s="6" t="n">
        <v>1000</v>
      </c>
      <c r="F180" s="7" t="n">
        <v>1</v>
      </c>
      <c r="G180" s="6" t="n">
        <v>72.6</v>
      </c>
      <c r="H180" s="6" t="n">
        <v>9</v>
      </c>
      <c r="I180" s="6" t="n">
        <v>72.6</v>
      </c>
      <c r="J180" s="6" t="n">
        <v>63.6</v>
      </c>
    </row>
    <row collapsed="false" customFormat="false" customHeight="false" hidden="false" ht="12.1" outlineLevel="0" r="181">
      <c r="A181" s="35" t="n">
        <v>45503</v>
      </c>
      <c r="B181" s="2" t="s">
        <v>1163</v>
      </c>
      <c r="C181" s="2" t="s">
        <v>246</v>
      </c>
      <c r="D181" s="2" t="s">
        <v>247</v>
      </c>
      <c r="E181" s="6" t="n">
        <v>1000</v>
      </c>
      <c r="F181" s="7" t="n">
        <v>1</v>
      </c>
      <c r="G181" s="6" t="n">
        <v>39.45</v>
      </c>
      <c r="H181" s="6" t="n">
        <v>5</v>
      </c>
      <c r="I181" s="6" t="n">
        <v>39.45</v>
      </c>
      <c r="J181" s="6" t="n">
        <v>34.45</v>
      </c>
    </row>
    <row collapsed="false" customFormat="false" customHeight="false" hidden="false" ht="12.1" outlineLevel="0" r="182">
      <c r="A182" s="35" t="n">
        <v>45506</v>
      </c>
      <c r="B182" s="2" t="s">
        <v>1163</v>
      </c>
      <c r="C182" s="2" t="s">
        <v>252</v>
      </c>
      <c r="D182" s="2" t="s">
        <v>253</v>
      </c>
      <c r="E182" s="6" t="n">
        <v>1000</v>
      </c>
      <c r="F182" s="7" t="n">
        <v>1</v>
      </c>
      <c r="G182" s="6" t="n">
        <v>53.1</v>
      </c>
      <c r="H182" s="6" t="n">
        <v>7</v>
      </c>
      <c r="I182" s="6" t="n">
        <v>53.1</v>
      </c>
      <c r="J182" s="6" t="n">
        <v>46.1</v>
      </c>
    </row>
    <row collapsed="false" customFormat="false" customHeight="false" hidden="false" ht="12.1" outlineLevel="0" r="183">
      <c r="A183" s="35" t="n">
        <v>45510</v>
      </c>
      <c r="B183" s="2" t="s">
        <v>1163</v>
      </c>
      <c r="C183" s="2" t="s">
        <v>171</v>
      </c>
      <c r="D183" s="2" t="s">
        <v>172</v>
      </c>
      <c r="E183" s="6" t="n">
        <v>1000</v>
      </c>
      <c r="F183" s="7" t="n">
        <v>2</v>
      </c>
      <c r="G183" s="6" t="n">
        <v>18.82</v>
      </c>
      <c r="H183" s="6" t="n">
        <v>5</v>
      </c>
      <c r="I183" s="6" t="n">
        <v>37.64</v>
      </c>
      <c r="J183" s="6" t="n">
        <v>32.64</v>
      </c>
    </row>
    <row collapsed="false" customFormat="false" customHeight="false" hidden="false" ht="12.1" outlineLevel="0" r="184">
      <c r="A184" s="35" t="n">
        <v>45517</v>
      </c>
      <c r="B184" s="2" t="s">
        <v>1163</v>
      </c>
      <c r="C184" s="2" t="s">
        <v>108</v>
      </c>
      <c r="D184" s="2" t="s">
        <v>109</v>
      </c>
      <c r="E184" s="6" t="n">
        <v>1000</v>
      </c>
      <c r="F184" s="7" t="n">
        <v>18</v>
      </c>
      <c r="G184" s="6" t="n">
        <v>34.9</v>
      </c>
      <c r="H184" s="6" t="n">
        <v>82</v>
      </c>
      <c r="I184" s="6" t="n">
        <v>628.2</v>
      </c>
      <c r="J184" s="6" t="n">
        <v>546.2</v>
      </c>
    </row>
    <row collapsed="false" customFormat="false" customHeight="false" hidden="false" ht="12.1" outlineLevel="0" r="185">
      <c r="A185" s="35" t="n">
        <v>45517</v>
      </c>
      <c r="B185" s="2" t="s">
        <v>1163</v>
      </c>
      <c r="C185" s="2" t="s">
        <v>314</v>
      </c>
      <c r="D185" s="2" t="s">
        <v>315</v>
      </c>
      <c r="E185" s="6" t="n">
        <v>300</v>
      </c>
      <c r="F185" s="7" t="n">
        <v>1</v>
      </c>
      <c r="G185" s="6" t="n">
        <v>4.67</v>
      </c>
      <c r="H185" s="6" t="n">
        <v>1</v>
      </c>
      <c r="I185" s="6" t="n">
        <v>4.67</v>
      </c>
      <c r="J185" s="6" t="n">
        <v>3.67</v>
      </c>
    </row>
    <row collapsed="false" customFormat="false" customHeight="false" hidden="false" ht="12.1" outlineLevel="0" r="186">
      <c r="A186" s="35" t="n">
        <v>45519</v>
      </c>
      <c r="B186" s="2" t="s">
        <v>1163</v>
      </c>
      <c r="C186" s="2" t="s">
        <v>249</v>
      </c>
      <c r="D186" s="2" t="s">
        <v>250</v>
      </c>
      <c r="E186" s="6" t="n">
        <v>1000</v>
      </c>
      <c r="F186" s="7" t="n">
        <v>1</v>
      </c>
      <c r="G186" s="6" t="n">
        <v>51.61</v>
      </c>
      <c r="H186" s="6" t="n">
        <v>7</v>
      </c>
      <c r="I186" s="6" t="n">
        <v>51.61</v>
      </c>
      <c r="J186" s="6" t="n">
        <v>44.61</v>
      </c>
    </row>
    <row collapsed="false" customFormat="false" customHeight="false" hidden="false" ht="12.1" outlineLevel="0" r="187">
      <c r="A187" s="35" t="n">
        <v>45522</v>
      </c>
      <c r="B187" s="2" t="s">
        <v>1163</v>
      </c>
      <c r="C187" s="2" t="s">
        <v>766</v>
      </c>
      <c r="D187" s="2" t="s">
        <v>1169</v>
      </c>
      <c r="E187" s="6" t="n">
        <v>850</v>
      </c>
      <c r="F187" s="7" t="n">
        <v>2</v>
      </c>
      <c r="G187" s="6" t="n">
        <v>27.55</v>
      </c>
      <c r="H187" s="6" t="n">
        <v>7</v>
      </c>
      <c r="I187" s="6" t="n">
        <v>55.1</v>
      </c>
      <c r="J187" s="6" t="n">
        <v>48.1</v>
      </c>
    </row>
    <row collapsed="false" customFormat="false" customHeight="false" hidden="false" ht="12.1" outlineLevel="0" r="188">
      <c r="A188" s="35" t="n">
        <v>45524</v>
      </c>
      <c r="B188" s="2" t="s">
        <v>1163</v>
      </c>
      <c r="C188" s="2" t="s">
        <v>762</v>
      </c>
      <c r="D188" s="2" t="s">
        <v>1165</v>
      </c>
      <c r="E188" s="6" t="n">
        <v>250</v>
      </c>
      <c r="F188" s="7" t="n">
        <v>1</v>
      </c>
      <c r="G188" s="6" t="n">
        <v>5.36</v>
      </c>
      <c r="H188" s="6" t="n">
        <v>1</v>
      </c>
      <c r="I188" s="6" t="n">
        <v>5.36</v>
      </c>
      <c r="J188" s="6" t="n">
        <v>4.36</v>
      </c>
    </row>
    <row collapsed="false" customFormat="false" customHeight="false" hidden="false" ht="12.1" outlineLevel="0" r="189">
      <c r="A189" s="35" t="n">
        <v>45525</v>
      </c>
      <c r="B189" s="2" t="s">
        <v>1163</v>
      </c>
      <c r="C189" s="2" t="s">
        <v>311</v>
      </c>
      <c r="D189" s="2" t="s">
        <v>312</v>
      </c>
      <c r="E189" s="6" t="n">
        <v>500</v>
      </c>
      <c r="F189" s="7" t="n">
        <v>1</v>
      </c>
      <c r="G189" s="6" t="n">
        <v>8.66</v>
      </c>
      <c r="H189" s="6" t="n">
        <v>1</v>
      </c>
      <c r="I189" s="6" t="n">
        <v>8.66</v>
      </c>
      <c r="J189" s="6" t="n">
        <v>7.66</v>
      </c>
    </row>
    <row collapsed="false" customFormat="false" customHeight="false" hidden="false" ht="12.1" outlineLevel="0" r="190">
      <c r="A190" s="35" t="n">
        <v>45526</v>
      </c>
      <c r="B190" s="2" t="s">
        <v>1163</v>
      </c>
      <c r="C190" s="2" t="s">
        <v>234</v>
      </c>
      <c r="D190" s="2" t="s">
        <v>235</v>
      </c>
      <c r="E190" s="6" t="n">
        <v>1000</v>
      </c>
      <c r="F190" s="7" t="n">
        <v>1</v>
      </c>
      <c r="G190" s="6" t="n">
        <v>14.54</v>
      </c>
      <c r="H190" s="6" t="n">
        <v>2</v>
      </c>
      <c r="I190" s="6" t="n">
        <v>14.54</v>
      </c>
      <c r="J190" s="6" t="n">
        <v>12.54</v>
      </c>
    </row>
    <row collapsed="false" customFormat="false" customHeight="false" hidden="false" ht="12.1" outlineLevel="0" r="191">
      <c r="A191" s="35" t="n">
        <v>45529</v>
      </c>
      <c r="B191" s="2" t="s">
        <v>1163</v>
      </c>
      <c r="C191" s="2" t="s">
        <v>183</v>
      </c>
      <c r="D191" s="2" t="s">
        <v>184</v>
      </c>
      <c r="E191" s="6" t="n">
        <v>1000</v>
      </c>
      <c r="F191" s="7" t="n">
        <v>2</v>
      </c>
      <c r="G191" s="6" t="n">
        <v>14.75</v>
      </c>
      <c r="H191" s="6" t="n">
        <v>4</v>
      </c>
      <c r="I191" s="6" t="n">
        <v>29.5</v>
      </c>
      <c r="J191" s="6" t="n">
        <v>25.5</v>
      </c>
    </row>
    <row collapsed="false" customFormat="false" customHeight="false" hidden="false" ht="12.1" outlineLevel="0" r="192">
      <c r="A192" s="35" t="n">
        <v>45531</v>
      </c>
      <c r="B192" s="2" t="s">
        <v>1163</v>
      </c>
      <c r="C192" s="2" t="s">
        <v>180</v>
      </c>
      <c r="D192" s="2" t="s">
        <v>181</v>
      </c>
      <c r="E192" s="6" t="n">
        <v>1000</v>
      </c>
      <c r="F192" s="7" t="n">
        <v>2</v>
      </c>
      <c r="G192" s="6" t="n">
        <v>14.05</v>
      </c>
      <c r="H192" s="6" t="n">
        <v>4</v>
      </c>
      <c r="I192" s="6" t="n">
        <v>28.1</v>
      </c>
      <c r="J192" s="6" t="n">
        <v>24.1</v>
      </c>
    </row>
    <row collapsed="false" customFormat="false" customHeight="false" hidden="false" ht="12.1" outlineLevel="0" r="193">
      <c r="A193" s="35" t="n">
        <v>45533</v>
      </c>
      <c r="B193" s="2" t="s">
        <v>1163</v>
      </c>
      <c r="C193" s="2" t="s">
        <v>276</v>
      </c>
      <c r="D193" s="2" t="s">
        <v>277</v>
      </c>
      <c r="E193" s="6" t="n">
        <v>1000</v>
      </c>
      <c r="F193" s="7" t="n">
        <v>1</v>
      </c>
      <c r="G193" s="6" t="n">
        <v>24.81</v>
      </c>
      <c r="H193" s="6" t="n">
        <v>3</v>
      </c>
      <c r="I193" s="6" t="n">
        <v>24.81</v>
      </c>
      <c r="J193" s="6" t="n">
        <v>21.81</v>
      </c>
    </row>
    <row collapsed="false" customFormat="false" customHeight="false" hidden="false" ht="12.1" outlineLevel="0" r="194">
      <c r="A194" s="35" t="n">
        <v>45536</v>
      </c>
      <c r="B194" s="2" t="s">
        <v>1163</v>
      </c>
      <c r="C194" s="2" t="s">
        <v>192</v>
      </c>
      <c r="D194" s="2" t="s">
        <v>193</v>
      </c>
      <c r="E194" s="6" t="n">
        <v>1000</v>
      </c>
      <c r="F194" s="7" t="n">
        <v>2</v>
      </c>
      <c r="G194" s="6" t="n">
        <v>19.95</v>
      </c>
      <c r="H194" s="6" t="n">
        <v>5</v>
      </c>
      <c r="I194" s="6" t="n">
        <v>39.9</v>
      </c>
      <c r="J194" s="6" t="n">
        <v>34.9</v>
      </c>
    </row>
    <row collapsed="false" customFormat="false" customHeight="false" hidden="false" ht="12.1" outlineLevel="0" r="195">
      <c r="A195" s="35" t="n">
        <v>45538</v>
      </c>
      <c r="B195" s="2" t="s">
        <v>1163</v>
      </c>
      <c r="C195" s="2" t="s">
        <v>159</v>
      </c>
      <c r="D195" s="2" t="s">
        <v>160</v>
      </c>
      <c r="E195" s="6" t="n">
        <v>1000</v>
      </c>
      <c r="F195" s="7" t="n">
        <v>4</v>
      </c>
      <c r="G195" s="6" t="n">
        <v>44.88</v>
      </c>
      <c r="H195" s="6" t="n">
        <v>23</v>
      </c>
      <c r="I195" s="6" t="n">
        <v>179.52</v>
      </c>
      <c r="J195" s="6" t="n">
        <v>156.52</v>
      </c>
    </row>
    <row collapsed="false" customFormat="false" customHeight="false" hidden="false" ht="12.1" outlineLevel="0" r="196">
      <c r="A196" s="35" t="n">
        <v>45538</v>
      </c>
      <c r="B196" s="2" t="s">
        <v>1163</v>
      </c>
      <c r="C196" s="2" t="s">
        <v>306</v>
      </c>
      <c r="D196" s="2" t="s">
        <v>307</v>
      </c>
      <c r="E196" s="6" t="n">
        <v>1000</v>
      </c>
      <c r="F196" s="7" t="n">
        <v>1</v>
      </c>
      <c r="G196" s="6" t="n">
        <v>19.87</v>
      </c>
      <c r="H196" s="6" t="n">
        <v>3</v>
      </c>
      <c r="I196" s="6" t="n">
        <v>19.87</v>
      </c>
      <c r="J196" s="6" t="n">
        <v>16.87</v>
      </c>
    </row>
    <row collapsed="false" customFormat="false" customHeight="false" hidden="false" ht="12.1" outlineLevel="0" r="197">
      <c r="A197" s="35" t="n">
        <v>45538</v>
      </c>
      <c r="B197" s="2" t="s">
        <v>1163</v>
      </c>
      <c r="C197" s="2" t="s">
        <v>225</v>
      </c>
      <c r="D197" s="2" t="s">
        <v>226</v>
      </c>
      <c r="E197" s="6" t="n">
        <v>1000</v>
      </c>
      <c r="F197" s="7" t="n">
        <v>1</v>
      </c>
      <c r="G197" s="6" t="n">
        <v>78.63</v>
      </c>
      <c r="H197" s="6" t="n">
        <v>10</v>
      </c>
      <c r="I197" s="6" t="n">
        <v>78.63</v>
      </c>
      <c r="J197" s="6" t="n">
        <v>68.63</v>
      </c>
    </row>
    <row collapsed="false" customFormat="false" customHeight="false" hidden="false" ht="12.1" outlineLevel="0" r="198">
      <c r="A198" s="35" t="n">
        <v>45539</v>
      </c>
      <c r="B198" s="2" t="s">
        <v>1163</v>
      </c>
      <c r="C198" s="2" t="s">
        <v>317</v>
      </c>
      <c r="D198" s="2" t="s">
        <v>318</v>
      </c>
      <c r="E198" s="6" t="n">
        <v>464</v>
      </c>
      <c r="F198" s="7" t="n">
        <v>1</v>
      </c>
      <c r="G198" s="6" t="n">
        <v>11.45</v>
      </c>
      <c r="H198" s="6" t="n">
        <v>1</v>
      </c>
      <c r="I198" s="6" t="n">
        <v>11.45</v>
      </c>
      <c r="J198" s="6" t="n">
        <v>10.45</v>
      </c>
    </row>
    <row collapsed="false" customFormat="false" customHeight="false" hidden="false" ht="12.1" outlineLevel="0" r="199">
      <c r="A199" s="35" t="n">
        <v>45551</v>
      </c>
      <c r="B199" s="2" t="s">
        <v>1163</v>
      </c>
      <c r="C199" s="2" t="s">
        <v>279</v>
      </c>
      <c r="D199" s="2" t="s">
        <v>280</v>
      </c>
      <c r="E199" s="6" t="n">
        <v>1000</v>
      </c>
      <c r="F199" s="7" t="n">
        <v>1</v>
      </c>
      <c r="G199" s="6" t="n">
        <v>39.39</v>
      </c>
      <c r="H199" s="6" t="n">
        <v>5</v>
      </c>
      <c r="I199" s="6" t="n">
        <v>39.39</v>
      </c>
      <c r="J199" s="6" t="n">
        <v>34.39</v>
      </c>
    </row>
    <row collapsed="false" customFormat="false" customHeight="false" hidden="false" ht="12.1" outlineLevel="0" r="200">
      <c r="A200" s="35" t="n">
        <v>45552</v>
      </c>
      <c r="B200" s="2" t="s">
        <v>1163</v>
      </c>
      <c r="C200" s="2" t="s">
        <v>117</v>
      </c>
      <c r="D200" s="2" t="s">
        <v>118</v>
      </c>
      <c r="E200" s="6" t="n">
        <v>1000</v>
      </c>
      <c r="F200" s="7" t="n">
        <v>11</v>
      </c>
      <c r="G200" s="6" t="n">
        <v>29.42</v>
      </c>
      <c r="H200" s="6" t="n">
        <v>42</v>
      </c>
      <c r="I200" s="6" t="n">
        <v>323.62</v>
      </c>
      <c r="J200" s="6" t="n">
        <v>281.62</v>
      </c>
    </row>
    <row collapsed="false" customFormat="false" customHeight="false" hidden="false" ht="12.1" outlineLevel="0" r="201">
      <c r="A201" s="35" t="n">
        <v>45557</v>
      </c>
      <c r="B201" s="2" t="s">
        <v>1163</v>
      </c>
      <c r="C201" s="2" t="s">
        <v>234</v>
      </c>
      <c r="D201" s="2" t="s">
        <v>235</v>
      </c>
      <c r="E201" s="6" t="n">
        <v>1000</v>
      </c>
      <c r="F201" s="7" t="n">
        <v>1</v>
      </c>
      <c r="G201" s="6" t="n">
        <v>15.3</v>
      </c>
      <c r="H201" s="6" t="n">
        <v>2</v>
      </c>
      <c r="I201" s="6" t="n">
        <v>15.3</v>
      </c>
      <c r="J201" s="6" t="n">
        <v>13.3</v>
      </c>
    </row>
    <row collapsed="false" customFormat="false" customHeight="false" hidden="false" ht="12.1" outlineLevel="0" r="202">
      <c r="A202" s="35" t="n">
        <v>45558</v>
      </c>
      <c r="B202" s="2" t="s">
        <v>1163</v>
      </c>
      <c r="C202" s="2" t="s">
        <v>769</v>
      </c>
      <c r="D202" s="2" t="s">
        <v>1170</v>
      </c>
      <c r="E202" s="6" t="n">
        <v>450</v>
      </c>
      <c r="F202" s="7" t="n">
        <v>1</v>
      </c>
      <c r="G202" s="6" t="n">
        <v>11.78</v>
      </c>
      <c r="H202" s="6" t="n">
        <v>2</v>
      </c>
      <c r="I202" s="6" t="n">
        <v>11.78</v>
      </c>
      <c r="J202" s="6" t="n">
        <v>9.78</v>
      </c>
    </row>
    <row collapsed="false" customFormat="false" customHeight="false" hidden="false" ht="12.1" outlineLevel="0" r="203">
      <c r="A203" s="35" t="n">
        <v>45559</v>
      </c>
      <c r="B203" s="2" t="s">
        <v>1163</v>
      </c>
      <c r="C203" s="2" t="s">
        <v>138</v>
      </c>
      <c r="D203" s="2" t="s">
        <v>139</v>
      </c>
      <c r="E203" s="6" t="n">
        <v>1000</v>
      </c>
      <c r="F203" s="7" t="n">
        <v>7</v>
      </c>
      <c r="G203" s="6" t="n">
        <v>56.1</v>
      </c>
      <c r="H203" s="6" t="n">
        <v>51</v>
      </c>
      <c r="I203" s="6" t="n">
        <v>392.7</v>
      </c>
      <c r="J203" s="6" t="n">
        <v>341.7</v>
      </c>
    </row>
    <row collapsed="false" customFormat="false" customHeight="false" hidden="false" ht="12.1" outlineLevel="0" r="204">
      <c r="A204" s="35" t="n">
        <v>45559</v>
      </c>
      <c r="B204" s="2" t="s">
        <v>1163</v>
      </c>
      <c r="C204" s="2" t="s">
        <v>285</v>
      </c>
      <c r="D204" s="2" t="s">
        <v>286</v>
      </c>
      <c r="E204" s="6" t="n">
        <v>1000</v>
      </c>
      <c r="F204" s="7" t="n">
        <v>1</v>
      </c>
      <c r="G204" s="6" t="n">
        <v>11.18</v>
      </c>
      <c r="H204" s="6" t="n">
        <v>1</v>
      </c>
      <c r="I204" s="6" t="n">
        <v>11.18</v>
      </c>
      <c r="J204" s="6" t="n">
        <v>10.18</v>
      </c>
    </row>
    <row collapsed="false" customFormat="false" customHeight="false" hidden="false" ht="12.1" outlineLevel="0" r="205">
      <c r="A205" s="35" t="n">
        <v>45559</v>
      </c>
      <c r="B205" s="2" t="s">
        <v>1163</v>
      </c>
      <c r="C205" s="2" t="s">
        <v>153</v>
      </c>
      <c r="D205" s="2" t="s">
        <v>154</v>
      </c>
      <c r="E205" s="6" t="n">
        <v>1000</v>
      </c>
      <c r="F205" s="7" t="n">
        <v>4</v>
      </c>
      <c r="G205" s="6" t="n">
        <v>16.26</v>
      </c>
      <c r="H205" s="6" t="n">
        <v>8</v>
      </c>
      <c r="I205" s="6" t="n">
        <v>65.04</v>
      </c>
      <c r="J205" s="6" t="n">
        <v>57.04</v>
      </c>
    </row>
    <row collapsed="false" customFormat="false" customHeight="false" hidden="false" ht="12.1" outlineLevel="0" r="206">
      <c r="A206" s="35" t="n">
        <v>45559</v>
      </c>
      <c r="B206" s="2" t="s">
        <v>1163</v>
      </c>
      <c r="C206" s="2" t="s">
        <v>126</v>
      </c>
      <c r="D206" s="2" t="s">
        <v>127</v>
      </c>
      <c r="E206" s="6" t="n">
        <v>1000</v>
      </c>
      <c r="F206" s="7" t="n">
        <v>5</v>
      </c>
      <c r="G206" s="6" t="n">
        <v>42.38</v>
      </c>
      <c r="H206" s="6" t="n">
        <v>28</v>
      </c>
      <c r="I206" s="6" t="n">
        <v>211.9</v>
      </c>
      <c r="J206" s="6" t="n">
        <v>183.9</v>
      </c>
    </row>
    <row collapsed="false" customFormat="false" customHeight="false" hidden="false" ht="12.1" outlineLevel="0" r="207">
      <c r="A207" s="35" t="n">
        <v>45560</v>
      </c>
      <c r="B207" s="2" t="s">
        <v>1163</v>
      </c>
      <c r="C207" s="2" t="s">
        <v>183</v>
      </c>
      <c r="D207" s="2" t="s">
        <v>184</v>
      </c>
      <c r="E207" s="6" t="n">
        <v>1000</v>
      </c>
      <c r="F207" s="7" t="n">
        <v>2</v>
      </c>
      <c r="G207" s="6" t="n">
        <v>15.61</v>
      </c>
      <c r="H207" s="6" t="n">
        <v>4</v>
      </c>
      <c r="I207" s="6" t="n">
        <v>31.22</v>
      </c>
      <c r="J207" s="6" t="n">
        <v>27.22</v>
      </c>
    </row>
    <row collapsed="false" customFormat="false" customHeight="false" hidden="false" ht="12.1" outlineLevel="0" r="208">
      <c r="A208" s="35" t="n">
        <v>45561</v>
      </c>
      <c r="B208" s="2" t="s">
        <v>1163</v>
      </c>
      <c r="C208" s="2" t="s">
        <v>180</v>
      </c>
      <c r="D208" s="2" t="s">
        <v>181</v>
      </c>
      <c r="E208" s="6" t="n">
        <v>1000</v>
      </c>
      <c r="F208" s="7" t="n">
        <v>2</v>
      </c>
      <c r="G208" s="6" t="n">
        <v>15.7</v>
      </c>
      <c r="H208" s="6" t="n">
        <v>4</v>
      </c>
      <c r="I208" s="6" t="n">
        <v>31.4</v>
      </c>
      <c r="J208" s="6" t="n">
        <v>27.4</v>
      </c>
    </row>
    <row collapsed="false" customFormat="false" customHeight="false" hidden="false" ht="12.1" outlineLevel="0" r="209">
      <c r="A209" s="35" t="n">
        <v>45566</v>
      </c>
      <c r="B209" s="2" t="s">
        <v>1163</v>
      </c>
      <c r="C209" s="2" t="s">
        <v>111</v>
      </c>
      <c r="D209" s="2" t="s">
        <v>112</v>
      </c>
      <c r="E209" s="6" t="n">
        <v>1000</v>
      </c>
      <c r="F209" s="7" t="n">
        <v>16</v>
      </c>
      <c r="G209" s="6" t="n">
        <v>38.39</v>
      </c>
      <c r="H209" s="6" t="n">
        <v>80</v>
      </c>
      <c r="I209" s="6" t="n">
        <v>614.24</v>
      </c>
      <c r="J209" s="6" t="n">
        <v>534.24</v>
      </c>
    </row>
    <row collapsed="false" customFormat="false" customHeight="false" hidden="false" ht="12.1" outlineLevel="0" r="210">
      <c r="A210" s="35" t="n">
        <v>45566</v>
      </c>
      <c r="B210" s="2" t="s">
        <v>1163</v>
      </c>
      <c r="C210" s="2" t="s">
        <v>132</v>
      </c>
      <c r="D210" s="2" t="s">
        <v>133</v>
      </c>
      <c r="E210" s="6" t="n">
        <v>1000</v>
      </c>
      <c r="F210" s="7" t="n">
        <v>6</v>
      </c>
      <c r="G210" s="6" t="n">
        <v>38.39</v>
      </c>
      <c r="H210" s="6" t="n">
        <v>30</v>
      </c>
      <c r="I210" s="6" t="n">
        <v>230.34</v>
      </c>
      <c r="J210" s="6" t="n">
        <v>200.34</v>
      </c>
    </row>
    <row collapsed="false" customFormat="false" customHeight="false" hidden="false" ht="12.1" outlineLevel="0" r="211">
      <c r="A211" s="35" t="n">
        <v>45567</v>
      </c>
      <c r="B211" s="2" t="s">
        <v>1163</v>
      </c>
      <c r="C211" s="2" t="s">
        <v>320</v>
      </c>
      <c r="D211" s="2" t="s">
        <v>321</v>
      </c>
      <c r="E211" s="6" t="n">
        <v>200</v>
      </c>
      <c r="F211" s="7" t="n">
        <v>1</v>
      </c>
      <c r="G211" s="6" t="n">
        <v>6.98</v>
      </c>
      <c r="H211" s="6" t="n">
        <v>1</v>
      </c>
      <c r="I211" s="6" t="n">
        <v>6.98</v>
      </c>
      <c r="J211" s="6" t="n">
        <v>5.98</v>
      </c>
    </row>
    <row collapsed="false" customFormat="false" customHeight="false" hidden="false" ht="12.1" outlineLevel="0" r="212">
      <c r="A212" s="35" t="n">
        <v>45573</v>
      </c>
      <c r="B212" s="2" t="s">
        <v>1163</v>
      </c>
      <c r="C212" s="2" t="s">
        <v>141</v>
      </c>
      <c r="D212" s="2" t="s">
        <v>142</v>
      </c>
      <c r="E212" s="6" t="n">
        <v>1000</v>
      </c>
      <c r="F212" s="7" t="n">
        <v>5</v>
      </c>
      <c r="G212" s="6" t="n">
        <v>82.22</v>
      </c>
      <c r="H212" s="6" t="n">
        <v>53</v>
      </c>
      <c r="I212" s="6" t="n">
        <v>411.1</v>
      </c>
      <c r="J212" s="6" t="n">
        <v>358.1</v>
      </c>
    </row>
    <row collapsed="false" customFormat="false" customHeight="false" hidden="false" ht="12.1" outlineLevel="0" r="213">
      <c r="A213" s="35" t="n">
        <v>45580</v>
      </c>
      <c r="B213" s="2" t="s">
        <v>1163</v>
      </c>
      <c r="C213" s="2" t="s">
        <v>114</v>
      </c>
      <c r="D213" s="2" t="s">
        <v>115</v>
      </c>
      <c r="E213" s="6" t="n">
        <v>1000</v>
      </c>
      <c r="F213" s="7" t="n">
        <v>10</v>
      </c>
      <c r="G213" s="6" t="n">
        <v>38.15</v>
      </c>
      <c r="H213" s="6" t="n">
        <v>50</v>
      </c>
      <c r="I213" s="6" t="n">
        <v>381.5</v>
      </c>
      <c r="J213" s="6" t="n">
        <v>331.5</v>
      </c>
    </row>
    <row collapsed="false" customFormat="false" customHeight="false" hidden="false" ht="12.1" outlineLevel="0" r="214">
      <c r="A214" s="35" t="n">
        <v>45580</v>
      </c>
      <c r="B214" s="2" t="s">
        <v>1163</v>
      </c>
      <c r="C214" s="2" t="s">
        <v>294</v>
      </c>
      <c r="D214" s="2" t="s">
        <v>295</v>
      </c>
      <c r="E214" s="6" t="n">
        <v>1000</v>
      </c>
      <c r="F214" s="7" t="n">
        <v>1</v>
      </c>
      <c r="G214" s="6" t="n">
        <v>26.18</v>
      </c>
      <c r="H214" s="6" t="n">
        <v>3</v>
      </c>
      <c r="I214" s="6" t="n">
        <v>26.18</v>
      </c>
      <c r="J214" s="6" t="n">
        <v>23.18</v>
      </c>
    </row>
    <row collapsed="false" customFormat="false" customHeight="false" hidden="false" ht="12.1" outlineLevel="0" r="215">
      <c r="A215" s="35" t="n">
        <v>45586</v>
      </c>
      <c r="B215" s="2" t="s">
        <v>1163</v>
      </c>
      <c r="C215" s="2" t="s">
        <v>308</v>
      </c>
      <c r="D215" s="2" t="s">
        <v>309</v>
      </c>
      <c r="E215" s="6" t="n">
        <v>1000</v>
      </c>
      <c r="F215" s="7" t="n">
        <v>1</v>
      </c>
      <c r="G215" s="6" t="n">
        <v>34.28</v>
      </c>
      <c r="H215" s="6" t="n">
        <v>4</v>
      </c>
      <c r="I215" s="6" t="n">
        <v>34.28</v>
      </c>
      <c r="J215" s="6" t="n">
        <v>30.28</v>
      </c>
    </row>
    <row collapsed="false" customFormat="false" customHeight="false" hidden="false" ht="12.1" outlineLevel="0" r="216">
      <c r="A216" s="35" t="n">
        <v>45587</v>
      </c>
      <c r="B216" s="2" t="s">
        <v>1163</v>
      </c>
      <c r="C216" s="2" t="s">
        <v>237</v>
      </c>
      <c r="D216" s="2" t="s">
        <v>238</v>
      </c>
      <c r="E216" s="6" t="n">
        <v>1000</v>
      </c>
      <c r="F216" s="7" t="n">
        <v>1</v>
      </c>
      <c r="G216" s="6" t="n">
        <v>48.3</v>
      </c>
      <c r="H216" s="6" t="n">
        <v>6</v>
      </c>
      <c r="I216" s="6" t="n">
        <v>48.3</v>
      </c>
      <c r="J216" s="6" t="n">
        <v>42.3</v>
      </c>
    </row>
    <row collapsed="false" customFormat="false" customHeight="false" hidden="false" ht="12.1" outlineLevel="0" r="217">
      <c r="A217" s="35" t="n">
        <v>45588</v>
      </c>
      <c r="B217" s="2" t="s">
        <v>1163</v>
      </c>
      <c r="C217" s="2" t="s">
        <v>234</v>
      </c>
      <c r="D217" s="2" t="s">
        <v>235</v>
      </c>
      <c r="E217" s="6" t="n">
        <v>1000</v>
      </c>
      <c r="F217" s="7" t="n">
        <v>1</v>
      </c>
      <c r="G217" s="6" t="n">
        <v>16.6</v>
      </c>
      <c r="H217" s="6" t="n">
        <v>2</v>
      </c>
      <c r="I217" s="6" t="n">
        <v>16.6</v>
      </c>
      <c r="J217" s="6" t="n">
        <v>14.6</v>
      </c>
    </row>
    <row collapsed="false" customFormat="false" customHeight="false" hidden="false" ht="12.1" outlineLevel="0" r="218">
      <c r="A218" s="35" t="n">
        <v>45589</v>
      </c>
      <c r="B218" s="2" t="s">
        <v>1163</v>
      </c>
      <c r="C218" s="2" t="s">
        <v>285</v>
      </c>
      <c r="D218" s="2" t="s">
        <v>286</v>
      </c>
      <c r="E218" s="6" t="n">
        <v>1000</v>
      </c>
      <c r="F218" s="7" t="n">
        <v>1</v>
      </c>
      <c r="G218" s="6" t="n">
        <v>11.18</v>
      </c>
      <c r="H218" s="6" t="n">
        <v>1</v>
      </c>
      <c r="I218" s="6" t="n">
        <v>11.18</v>
      </c>
      <c r="J218" s="6" t="n">
        <v>10.18</v>
      </c>
    </row>
    <row collapsed="false" customFormat="false" customHeight="false" hidden="false" ht="12.1" outlineLevel="0" r="219">
      <c r="A219" s="35" t="n">
        <v>45591</v>
      </c>
      <c r="B219" s="2" t="s">
        <v>1163</v>
      </c>
      <c r="C219" s="2" t="s">
        <v>180</v>
      </c>
      <c r="D219" s="2" t="s">
        <v>181</v>
      </c>
      <c r="E219" s="6" t="n">
        <v>1000</v>
      </c>
      <c r="F219" s="7" t="n">
        <v>2</v>
      </c>
      <c r="G219" s="6" t="n">
        <v>16.52</v>
      </c>
      <c r="H219" s="6" t="n">
        <v>4</v>
      </c>
      <c r="I219" s="6" t="n">
        <v>33.04</v>
      </c>
      <c r="J219" s="6" t="n">
        <v>29.04</v>
      </c>
    </row>
    <row collapsed="false" customFormat="false" customHeight="false" hidden="false" ht="12.1" outlineLevel="0" r="220">
      <c r="A220" s="35" t="n">
        <v>45591</v>
      </c>
      <c r="B220" s="2" t="s">
        <v>1163</v>
      </c>
      <c r="C220" s="2" t="s">
        <v>183</v>
      </c>
      <c r="D220" s="2" t="s">
        <v>184</v>
      </c>
      <c r="E220" s="6" t="n">
        <v>1000</v>
      </c>
      <c r="F220" s="7" t="n">
        <v>2</v>
      </c>
      <c r="G220" s="6" t="n">
        <v>16.85</v>
      </c>
      <c r="H220" s="6" t="n">
        <v>4</v>
      </c>
      <c r="I220" s="6" t="n">
        <v>33.7</v>
      </c>
      <c r="J220" s="6" t="n">
        <v>29.7</v>
      </c>
    </row>
    <row collapsed="false" customFormat="false" customHeight="false" hidden="false" ht="12.1" outlineLevel="0" r="221">
      <c r="A221" s="35" t="n">
        <v>45593</v>
      </c>
      <c r="B221" s="2" t="s">
        <v>1163</v>
      </c>
      <c r="C221" s="2" t="s">
        <v>189</v>
      </c>
      <c r="D221" s="2" t="s">
        <v>190</v>
      </c>
      <c r="E221" s="6" t="n">
        <v>1000</v>
      </c>
      <c r="F221" s="7" t="n">
        <v>2</v>
      </c>
      <c r="G221" s="6" t="n">
        <v>29.17</v>
      </c>
      <c r="H221" s="6" t="n">
        <v>8</v>
      </c>
      <c r="I221" s="6" t="n">
        <v>58.34</v>
      </c>
      <c r="J221" s="6" t="n">
        <v>50.34</v>
      </c>
    </row>
    <row collapsed="false" customFormat="false" customHeight="false" hidden="false" ht="12.1" outlineLevel="0" r="222">
      <c r="A222" s="35" t="n">
        <v>45593</v>
      </c>
      <c r="B222" s="2" t="s">
        <v>1163</v>
      </c>
      <c r="C222" s="2" t="s">
        <v>291</v>
      </c>
      <c r="D222" s="2" t="s">
        <v>292</v>
      </c>
      <c r="E222" s="6" t="n">
        <v>1000</v>
      </c>
      <c r="F222" s="7" t="n">
        <v>1</v>
      </c>
      <c r="G222" s="6" t="n">
        <v>28.22</v>
      </c>
      <c r="H222" s="6" t="n">
        <v>4</v>
      </c>
      <c r="I222" s="6" t="n">
        <v>28.22</v>
      </c>
      <c r="J222" s="6" t="n">
        <v>24.22</v>
      </c>
    </row>
    <row collapsed="false" customFormat="false" customHeight="false" hidden="false" ht="12.1" outlineLevel="0" r="223">
      <c r="A223" s="35" t="n">
        <v>45594</v>
      </c>
      <c r="B223" s="2" t="s">
        <v>1163</v>
      </c>
      <c r="C223" s="2" t="s">
        <v>246</v>
      </c>
      <c r="D223" s="2" t="s">
        <v>247</v>
      </c>
      <c r="E223" s="6" t="n">
        <v>1000</v>
      </c>
      <c r="F223" s="7" t="n">
        <v>1</v>
      </c>
      <c r="G223" s="6" t="n">
        <v>44.89</v>
      </c>
      <c r="H223" s="6" t="n">
        <v>6</v>
      </c>
      <c r="I223" s="6" t="n">
        <v>44.89</v>
      </c>
      <c r="J223" s="6" t="n">
        <v>38.89</v>
      </c>
    </row>
    <row collapsed="false" customFormat="false" customHeight="false" hidden="false" ht="12.1" outlineLevel="0" r="224">
      <c r="A224" s="35" t="n">
        <v>45595</v>
      </c>
      <c r="B224" s="2" t="s">
        <v>1163</v>
      </c>
      <c r="C224" s="2" t="s">
        <v>761</v>
      </c>
      <c r="D224" s="2" t="s">
        <v>1167</v>
      </c>
      <c r="E224" s="6" t="n">
        <v>1000</v>
      </c>
      <c r="F224" s="7" t="n">
        <v>1</v>
      </c>
      <c r="G224" s="6" t="n">
        <v>42.38</v>
      </c>
      <c r="H224" s="6" t="n">
        <v>6</v>
      </c>
      <c r="I224" s="6" t="n">
        <v>42.38</v>
      </c>
      <c r="J224" s="6" t="n">
        <v>36.38</v>
      </c>
    </row>
    <row collapsed="false" customFormat="false" customHeight="false" hidden="false" ht="12.1" outlineLevel="0" r="225">
      <c r="A225" s="35" t="n">
        <v>45596</v>
      </c>
      <c r="B225" s="2" t="s">
        <v>1163</v>
      </c>
      <c r="C225" s="2" t="s">
        <v>297</v>
      </c>
      <c r="D225" s="2" t="s">
        <v>298</v>
      </c>
      <c r="E225" s="6" t="n">
        <v>1000</v>
      </c>
      <c r="F225" s="7" t="n">
        <v>1</v>
      </c>
      <c r="G225" s="6" t="n">
        <v>23.86</v>
      </c>
      <c r="H225" s="6" t="n">
        <v>3</v>
      </c>
      <c r="I225" s="6" t="n">
        <v>23.86</v>
      </c>
      <c r="J225" s="6" t="n">
        <v>20.86</v>
      </c>
    </row>
    <row collapsed="false" customFormat="false" customHeight="false" hidden="false" ht="12.1" outlineLevel="0" r="226">
      <c r="A226" s="35" t="n">
        <v>45608</v>
      </c>
      <c r="B226" s="2" t="s">
        <v>1163</v>
      </c>
      <c r="C226" s="2" t="s">
        <v>105</v>
      </c>
      <c r="D226" s="2" t="s">
        <v>106</v>
      </c>
      <c r="E226" s="6" t="n">
        <v>1000</v>
      </c>
      <c r="F226" s="7" t="n">
        <v>7</v>
      </c>
      <c r="G226" s="6" t="n">
        <v>84.97</v>
      </c>
      <c r="H226" s="6" t="n">
        <v>77</v>
      </c>
      <c r="I226" s="6" t="n">
        <v>594.79</v>
      </c>
      <c r="J226" s="6" t="n">
        <v>517.79</v>
      </c>
    </row>
    <row collapsed="false" customFormat="false" customHeight="false" hidden="false" ht="12.1" outlineLevel="0" r="227">
      <c r="A227" s="35" t="n">
        <v>45608</v>
      </c>
      <c r="B227" s="2" t="s">
        <v>1163</v>
      </c>
      <c r="C227" s="2" t="s">
        <v>314</v>
      </c>
      <c r="D227" s="2" t="s">
        <v>315</v>
      </c>
      <c r="E227" s="6" t="n">
        <v>300</v>
      </c>
      <c r="F227" s="7" t="n">
        <v>1</v>
      </c>
      <c r="G227" s="6" t="n">
        <v>4.67</v>
      </c>
      <c r="H227" s="6" t="n">
        <v>1</v>
      </c>
      <c r="I227" s="6" t="n">
        <v>4.67</v>
      </c>
      <c r="J227" s="6" t="n">
        <v>3.67</v>
      </c>
    </row>
    <row collapsed="false" customFormat="false" customHeight="false" hidden="false" ht="12.1" outlineLevel="0" r="228">
      <c r="A228" s="35" t="n">
        <v>45613</v>
      </c>
      <c r="B228" s="2" t="s">
        <v>1163</v>
      </c>
      <c r="C228" s="2" t="s">
        <v>766</v>
      </c>
      <c r="D228" s="2" t="s">
        <v>1169</v>
      </c>
      <c r="E228" s="6" t="n">
        <v>650</v>
      </c>
      <c r="F228" s="7" t="n">
        <v>2</v>
      </c>
      <c r="G228" s="6" t="n">
        <v>21.07</v>
      </c>
      <c r="H228" s="6" t="n">
        <v>5</v>
      </c>
      <c r="I228" s="6" t="n">
        <v>42.14</v>
      </c>
      <c r="J228" s="6" t="n">
        <v>37.14</v>
      </c>
    </row>
    <row collapsed="false" customFormat="false" customHeight="false" hidden="false" ht="12.1" outlineLevel="0" r="229">
      <c r="A229" s="35" t="n">
        <v>45615</v>
      </c>
      <c r="B229" s="2" t="s">
        <v>1163</v>
      </c>
      <c r="C229" s="2" t="s">
        <v>135</v>
      </c>
      <c r="D229" s="2" t="s">
        <v>136</v>
      </c>
      <c r="E229" s="6" t="n">
        <v>1000</v>
      </c>
      <c r="F229" s="7" t="n">
        <v>9</v>
      </c>
      <c r="G229" s="6" t="n">
        <v>36.15</v>
      </c>
      <c r="H229" s="6" t="n">
        <v>42</v>
      </c>
      <c r="I229" s="6" t="n">
        <v>325.35</v>
      </c>
      <c r="J229" s="6" t="n">
        <v>283.35</v>
      </c>
    </row>
    <row collapsed="false" customFormat="false" customHeight="false" hidden="false" ht="12.1" outlineLevel="0" r="230">
      <c r="A230" s="35" t="n">
        <v>45615</v>
      </c>
      <c r="B230" s="2" t="s">
        <v>1163</v>
      </c>
      <c r="C230" s="2" t="s">
        <v>150</v>
      </c>
      <c r="D230" s="2" t="s">
        <v>151</v>
      </c>
      <c r="E230" s="6" t="n">
        <v>1000</v>
      </c>
      <c r="F230" s="7" t="n">
        <v>6</v>
      </c>
      <c r="G230" s="6" t="n">
        <v>14.15</v>
      </c>
      <c r="H230" s="6" t="n">
        <v>11</v>
      </c>
      <c r="I230" s="6" t="n">
        <v>84.9</v>
      </c>
      <c r="J230" s="6" t="n">
        <v>73.9</v>
      </c>
    </row>
    <row collapsed="false" customFormat="false" customHeight="false" hidden="false" ht="12.1" outlineLevel="0" r="231">
      <c r="A231" s="35" t="n">
        <v>45616</v>
      </c>
      <c r="B231" s="2" t="s">
        <v>1163</v>
      </c>
      <c r="C231" s="2" t="s">
        <v>311</v>
      </c>
      <c r="D231" s="2" t="s">
        <v>312</v>
      </c>
      <c r="E231" s="6" t="n">
        <v>500</v>
      </c>
      <c r="F231" s="7" t="n">
        <v>1</v>
      </c>
      <c r="G231" s="6" t="n">
        <v>8.66</v>
      </c>
      <c r="H231" s="6" t="n">
        <v>1</v>
      </c>
      <c r="I231" s="6" t="n">
        <v>8.66</v>
      </c>
      <c r="J231" s="6" t="n">
        <v>7.66</v>
      </c>
    </row>
    <row collapsed="false" customFormat="false" customHeight="false" hidden="false" ht="12.1" outlineLevel="0" r="232">
      <c r="A232" s="35" t="n">
        <v>45619</v>
      </c>
      <c r="B232" s="2" t="s">
        <v>1163</v>
      </c>
      <c r="C232" s="2" t="s">
        <v>285</v>
      </c>
      <c r="D232" s="2" t="s">
        <v>286</v>
      </c>
      <c r="E232" s="6" t="n">
        <v>1000</v>
      </c>
      <c r="F232" s="7" t="n">
        <v>1</v>
      </c>
      <c r="G232" s="6" t="n">
        <v>11.18</v>
      </c>
      <c r="H232" s="6" t="n">
        <v>1</v>
      </c>
      <c r="I232" s="6" t="n">
        <v>11.18</v>
      </c>
      <c r="J232" s="6" t="n">
        <v>10.18</v>
      </c>
    </row>
    <row collapsed="false" customFormat="false" customHeight="false" hidden="false" ht="12.1" outlineLevel="0" r="233">
      <c r="A233" s="35" t="n">
        <v>45619</v>
      </c>
      <c r="B233" s="2" t="s">
        <v>1163</v>
      </c>
      <c r="C233" s="2" t="s">
        <v>234</v>
      </c>
      <c r="D233" s="2" t="s">
        <v>235</v>
      </c>
      <c r="E233" s="6" t="n">
        <v>1000</v>
      </c>
      <c r="F233" s="7" t="n">
        <v>1</v>
      </c>
      <c r="G233" s="6" t="n">
        <v>16.79</v>
      </c>
      <c r="H233" s="6" t="n">
        <v>2</v>
      </c>
      <c r="I233" s="6" t="n">
        <v>16.79</v>
      </c>
      <c r="J233" s="6" t="n">
        <v>14.79</v>
      </c>
    </row>
    <row collapsed="false" customFormat="false" customHeight="false" hidden="false" ht="12.1" outlineLevel="0" r="234">
      <c r="A234" s="35" t="n">
        <v>45621</v>
      </c>
      <c r="B234" s="2" t="s">
        <v>1163</v>
      </c>
      <c r="C234" s="2" t="s">
        <v>180</v>
      </c>
      <c r="D234" s="2" t="s">
        <v>181</v>
      </c>
      <c r="E234" s="6" t="n">
        <v>1000</v>
      </c>
      <c r="F234" s="7" t="n">
        <v>2</v>
      </c>
      <c r="G234" s="6" t="n">
        <v>16.52</v>
      </c>
      <c r="H234" s="6" t="n">
        <v>4</v>
      </c>
      <c r="I234" s="6" t="n">
        <v>33.04</v>
      </c>
      <c r="J234" s="6" t="n">
        <v>29.04</v>
      </c>
    </row>
    <row collapsed="false" customFormat="false" customHeight="false" hidden="false" ht="12.1" outlineLevel="0" r="235">
      <c r="A235" s="35" t="n">
        <v>45621</v>
      </c>
      <c r="B235" s="2" t="s">
        <v>1163</v>
      </c>
      <c r="C235" s="2" t="s">
        <v>174</v>
      </c>
      <c r="D235" s="2" t="s">
        <v>175</v>
      </c>
      <c r="E235" s="6" t="n">
        <v>1000</v>
      </c>
      <c r="F235" s="7" t="n">
        <v>1</v>
      </c>
      <c r="G235" s="6" t="n">
        <v>24.93</v>
      </c>
      <c r="H235" s="6" t="n">
        <v>3</v>
      </c>
      <c r="I235" s="6" t="n">
        <v>24.93</v>
      </c>
      <c r="J235" s="6" t="n">
        <v>21.93</v>
      </c>
    </row>
    <row collapsed="false" customFormat="false" customHeight="false" hidden="false" ht="12.1" outlineLevel="0" r="236">
      <c r="A236" s="35" t="n">
        <v>45622</v>
      </c>
      <c r="B236" s="2" t="s">
        <v>1163</v>
      </c>
      <c r="C236" s="2" t="s">
        <v>183</v>
      </c>
      <c r="D236" s="2" t="s">
        <v>184</v>
      </c>
      <c r="E236" s="6" t="n">
        <v>1000</v>
      </c>
      <c r="F236" s="7" t="n">
        <v>2</v>
      </c>
      <c r="G236" s="6" t="n">
        <v>16.98</v>
      </c>
      <c r="H236" s="6" t="n">
        <v>4</v>
      </c>
      <c r="I236" s="6" t="n">
        <v>33.96</v>
      </c>
      <c r="J236" s="6" t="n">
        <v>29.96</v>
      </c>
    </row>
    <row collapsed="false" customFormat="false" customHeight="false" hidden="false" ht="12.1" outlineLevel="0" r="237">
      <c r="A237" s="35" t="n">
        <v>45622</v>
      </c>
      <c r="B237" s="2" t="s">
        <v>1163</v>
      </c>
      <c r="C237" s="2" t="s">
        <v>123</v>
      </c>
      <c r="D237" s="2" t="s">
        <v>124</v>
      </c>
      <c r="E237" s="6" t="n">
        <v>1000</v>
      </c>
      <c r="F237" s="7" t="n">
        <v>9</v>
      </c>
      <c r="G237" s="6" t="n">
        <v>47.37</v>
      </c>
      <c r="H237" s="6" t="n">
        <v>55</v>
      </c>
      <c r="I237" s="6" t="n">
        <v>426.33</v>
      </c>
      <c r="J237" s="6" t="n">
        <v>371.33</v>
      </c>
    </row>
    <row collapsed="false" customFormat="false" customHeight="false" hidden="false" ht="12.1" outlineLevel="0" r="238">
      <c r="A238" s="35" t="n">
        <v>45622</v>
      </c>
      <c r="B238" s="2" t="s">
        <v>1163</v>
      </c>
      <c r="C238" s="2" t="s">
        <v>147</v>
      </c>
      <c r="D238" s="2" t="s">
        <v>148</v>
      </c>
      <c r="E238" s="6" t="n">
        <v>1000</v>
      </c>
      <c r="F238" s="7" t="n">
        <v>1</v>
      </c>
      <c r="G238" s="6" t="n">
        <v>65.78</v>
      </c>
      <c r="H238" s="6" t="n">
        <v>9</v>
      </c>
      <c r="I238" s="6" t="n">
        <v>65.78</v>
      </c>
      <c r="J238" s="6" t="n">
        <v>56.78</v>
      </c>
    </row>
    <row collapsed="false" customFormat="false" customHeight="false" hidden="false" ht="12.1" outlineLevel="0" r="239">
      <c r="A239" s="35" t="n">
        <v>45624</v>
      </c>
      <c r="B239" s="2" t="s">
        <v>1163</v>
      </c>
      <c r="C239" s="2" t="s">
        <v>276</v>
      </c>
      <c r="D239" s="2" t="s">
        <v>277</v>
      </c>
      <c r="E239" s="6" t="n">
        <v>1000</v>
      </c>
      <c r="F239" s="7" t="n">
        <v>1</v>
      </c>
      <c r="G239" s="6" t="n">
        <v>24.81</v>
      </c>
      <c r="H239" s="6" t="n">
        <v>3</v>
      </c>
      <c r="I239" s="6" t="n">
        <v>24.81</v>
      </c>
      <c r="J239" s="6" t="n">
        <v>21.81</v>
      </c>
    </row>
    <row collapsed="false" customFormat="false" customHeight="false" hidden="false" ht="12.1" outlineLevel="0" r="240">
      <c r="A240" s="35" t="n">
        <v>45627</v>
      </c>
      <c r="B240" s="2" t="s">
        <v>1163</v>
      </c>
      <c r="C240" s="2" t="s">
        <v>192</v>
      </c>
      <c r="D240" s="2" t="s">
        <v>193</v>
      </c>
      <c r="E240" s="6" t="n">
        <v>1000</v>
      </c>
      <c r="F240" s="7" t="n">
        <v>2</v>
      </c>
      <c r="G240" s="6" t="n">
        <v>19.95</v>
      </c>
      <c r="H240" s="6" t="n">
        <v>5</v>
      </c>
      <c r="I240" s="6" t="n">
        <v>39.9</v>
      </c>
      <c r="J240" s="6" t="n">
        <v>34.9</v>
      </c>
    </row>
    <row collapsed="false" customFormat="false" customHeight="false" hidden="false" ht="12.1" outlineLevel="0" r="241">
      <c r="A241" s="35" t="n">
        <v>45628</v>
      </c>
      <c r="B241" s="2" t="s">
        <v>1163</v>
      </c>
      <c r="C241" s="2" t="s">
        <v>255</v>
      </c>
      <c r="D241" s="2" t="s">
        <v>256</v>
      </c>
      <c r="E241" s="6" t="n">
        <v>1000</v>
      </c>
      <c r="F241" s="7" t="n">
        <v>1</v>
      </c>
      <c r="G241" s="6" t="n">
        <v>56.1</v>
      </c>
      <c r="H241" s="6" t="n">
        <v>7</v>
      </c>
      <c r="I241" s="6" t="n">
        <v>56.1</v>
      </c>
      <c r="J241" s="6" t="n">
        <v>49.1</v>
      </c>
    </row>
    <row collapsed="false" customFormat="false" customHeight="false" hidden="false" ht="12.1" outlineLevel="0" r="242">
      <c r="A242" s="35" t="n">
        <v>45628</v>
      </c>
      <c r="B242" s="2" t="s">
        <v>1163</v>
      </c>
      <c r="C242" s="2" t="s">
        <v>264</v>
      </c>
      <c r="D242" s="2" t="s">
        <v>265</v>
      </c>
      <c r="E242" s="6" t="n">
        <v>1000</v>
      </c>
      <c r="F242" s="7" t="n">
        <v>1</v>
      </c>
      <c r="G242" s="6" t="n">
        <v>29.17</v>
      </c>
      <c r="H242" s="6" t="n">
        <v>4</v>
      </c>
      <c r="I242" s="6" t="n">
        <v>29.17</v>
      </c>
      <c r="J242" s="6" t="n">
        <v>25.17</v>
      </c>
    </row>
    <row collapsed="false" customFormat="false" customHeight="false" hidden="false" ht="12.1" outlineLevel="0" r="243">
      <c r="A243" s="35" t="n">
        <v>45629</v>
      </c>
      <c r="B243" s="2" t="s">
        <v>1163</v>
      </c>
      <c r="C243" s="2" t="s">
        <v>261</v>
      </c>
      <c r="D243" s="2" t="s">
        <v>262</v>
      </c>
      <c r="E243" s="6" t="n">
        <v>1000</v>
      </c>
      <c r="F243" s="7" t="n">
        <v>1</v>
      </c>
      <c r="G243" s="6" t="n">
        <v>56.84</v>
      </c>
      <c r="H243" s="6" t="n">
        <v>7</v>
      </c>
      <c r="I243" s="6" t="n">
        <v>56.84</v>
      </c>
      <c r="J243" s="6" t="n">
        <v>49.84</v>
      </c>
    </row>
    <row collapsed="false" customFormat="false" customHeight="false" hidden="false" ht="12.1" outlineLevel="0" r="244">
      <c r="A244" s="35" t="n">
        <v>45629</v>
      </c>
      <c r="B244" s="2" t="s">
        <v>1163</v>
      </c>
      <c r="C244" s="2" t="s">
        <v>129</v>
      </c>
      <c r="D244" s="2" t="s">
        <v>130</v>
      </c>
      <c r="E244" s="6" t="n">
        <v>1000</v>
      </c>
      <c r="F244" s="7" t="n">
        <v>1</v>
      </c>
      <c r="G244" s="6" t="n">
        <v>68.13</v>
      </c>
      <c r="H244" s="6" t="n">
        <v>9</v>
      </c>
      <c r="I244" s="6" t="n">
        <v>68.13</v>
      </c>
      <c r="J244" s="6" t="n">
        <v>59.13</v>
      </c>
    </row>
    <row collapsed="false" customFormat="false" customHeight="false" hidden="false" ht="12.1" outlineLevel="0" r="245">
      <c r="A245" s="35" t="n">
        <v>45629</v>
      </c>
      <c r="B245" s="2" t="s">
        <v>1163</v>
      </c>
      <c r="C245" s="2" t="s">
        <v>120</v>
      </c>
      <c r="D245" s="2" t="s">
        <v>121</v>
      </c>
      <c r="E245" s="6" t="n">
        <v>1000</v>
      </c>
      <c r="F245" s="7" t="n">
        <v>10</v>
      </c>
      <c r="G245" s="6" t="n">
        <v>48.87</v>
      </c>
      <c r="H245" s="6" t="n">
        <v>64</v>
      </c>
      <c r="I245" s="6" t="n">
        <v>488.7</v>
      </c>
      <c r="J245" s="6" t="n">
        <v>424.7</v>
      </c>
    </row>
    <row collapsed="false" customFormat="false" customHeight="false" hidden="false" ht="12.1" outlineLevel="0" r="246">
      <c r="A246" s="35" t="n">
        <v>45629</v>
      </c>
      <c r="B246" s="2" t="s">
        <v>1163</v>
      </c>
      <c r="C246" s="2" t="s">
        <v>306</v>
      </c>
      <c r="D246" s="2" t="s">
        <v>307</v>
      </c>
      <c r="E246" s="6" t="n">
        <v>1000</v>
      </c>
      <c r="F246" s="7" t="n">
        <v>1</v>
      </c>
      <c r="G246" s="6" t="n">
        <v>19.87</v>
      </c>
      <c r="H246" s="6" t="n">
        <v>3</v>
      </c>
      <c r="I246" s="6" t="n">
        <v>19.87</v>
      </c>
      <c r="J246" s="6" t="n">
        <v>16.87</v>
      </c>
    </row>
    <row collapsed="false" customFormat="false" customHeight="false" hidden="false" ht="12.1" outlineLevel="0" r="247">
      <c r="A247" s="35" t="n">
        <v>45629</v>
      </c>
      <c r="B247" s="2" t="s">
        <v>1163</v>
      </c>
      <c r="C247" s="2" t="s">
        <v>186</v>
      </c>
      <c r="D247" s="2" t="s">
        <v>187</v>
      </c>
      <c r="E247" s="6" t="n">
        <v>1000</v>
      </c>
      <c r="F247" s="7" t="n">
        <v>2</v>
      </c>
      <c r="G247" s="6" t="n">
        <v>32.66</v>
      </c>
      <c r="H247" s="6" t="n">
        <v>8</v>
      </c>
      <c r="I247" s="6" t="n">
        <v>65.32</v>
      </c>
      <c r="J247" s="6" t="n">
        <v>57.32</v>
      </c>
    </row>
    <row collapsed="false" customFormat="false" customHeight="false" hidden="false" ht="12.1" outlineLevel="0" r="248">
      <c r="A248" s="35" t="n">
        <v>45629</v>
      </c>
      <c r="B248" s="2" t="s">
        <v>1163</v>
      </c>
      <c r="C248" s="2" t="s">
        <v>102</v>
      </c>
      <c r="D248" s="2" t="s">
        <v>103</v>
      </c>
      <c r="E248" s="6" t="n">
        <v>1000</v>
      </c>
      <c r="F248" s="7" t="n">
        <v>22</v>
      </c>
      <c r="G248" s="6" t="n">
        <v>35.4</v>
      </c>
      <c r="H248" s="6" t="n">
        <v>101</v>
      </c>
      <c r="I248" s="6" t="n">
        <v>778.8</v>
      </c>
      <c r="J248" s="6" t="n">
        <v>677.8</v>
      </c>
    </row>
    <row collapsed="false" customFormat="false" customHeight="false" hidden="false" ht="12.1" outlineLevel="0" r="249">
      <c r="A249" s="35" t="n">
        <v>45629</v>
      </c>
      <c r="B249" s="2" t="s">
        <v>1163</v>
      </c>
      <c r="C249" s="2" t="s">
        <v>303</v>
      </c>
      <c r="D249" s="2" t="s">
        <v>304</v>
      </c>
      <c r="E249" s="6" t="n">
        <v>1000</v>
      </c>
      <c r="F249" s="7" t="n">
        <v>1</v>
      </c>
      <c r="G249" s="6" t="n">
        <v>19.55</v>
      </c>
      <c r="H249" s="6" t="n">
        <v>3</v>
      </c>
      <c r="I249" s="6" t="n">
        <v>19.55</v>
      </c>
      <c r="J249" s="6" t="n">
        <v>16.55</v>
      </c>
    </row>
    <row collapsed="false" customFormat="false" customHeight="false" hidden="false" ht="12.1" outlineLevel="0" r="250">
      <c r="A250" s="35" t="n">
        <v>45630</v>
      </c>
      <c r="B250" s="2" t="s">
        <v>1163</v>
      </c>
      <c r="C250" s="2" t="s">
        <v>317</v>
      </c>
      <c r="D250" s="2" t="s">
        <v>318</v>
      </c>
      <c r="E250" s="6" t="n">
        <v>397</v>
      </c>
      <c r="F250" s="7" t="n">
        <v>1</v>
      </c>
      <c r="G250" s="6" t="n">
        <v>9.8</v>
      </c>
      <c r="H250" s="6" t="n">
        <v>1</v>
      </c>
      <c r="I250" s="6" t="n">
        <v>9.8</v>
      </c>
      <c r="J250" s="6" t="n">
        <v>8.8</v>
      </c>
    </row>
    <row collapsed="false" customFormat="false" customHeight="false" hidden="false" ht="12.1" outlineLevel="0" r="251">
      <c r="A251" s="35" t="n">
        <v>45630</v>
      </c>
      <c r="B251" s="2" t="s">
        <v>1163</v>
      </c>
      <c r="C251" s="2" t="s">
        <v>240</v>
      </c>
      <c r="D251" s="2" t="s">
        <v>241</v>
      </c>
      <c r="E251" s="6" t="n">
        <v>1000</v>
      </c>
      <c r="F251" s="7" t="n">
        <v>1</v>
      </c>
      <c r="G251" s="6" t="n">
        <v>35.53</v>
      </c>
      <c r="H251" s="6" t="n">
        <v>5</v>
      </c>
      <c r="I251" s="6" t="n">
        <v>35.53</v>
      </c>
      <c r="J251" s="6" t="n">
        <v>30.53</v>
      </c>
    </row>
    <row collapsed="false" customFormat="false" customHeight="false" hidden="false" ht="12.1" outlineLevel="0" r="252">
      <c r="A252" s="35" t="n">
        <v>45635</v>
      </c>
      <c r="B252" s="2" t="s">
        <v>1163</v>
      </c>
      <c r="C252" s="2" t="s">
        <v>288</v>
      </c>
      <c r="D252" s="2" t="s">
        <v>289</v>
      </c>
      <c r="E252" s="6" t="n">
        <v>895</v>
      </c>
      <c r="F252" s="7" t="n">
        <v>1</v>
      </c>
      <c r="G252" s="6" t="n">
        <v>30.12</v>
      </c>
      <c r="H252" s="6" t="n">
        <v>4</v>
      </c>
      <c r="I252" s="6" t="n">
        <v>30.12</v>
      </c>
      <c r="J252" s="6" t="n">
        <v>26.12</v>
      </c>
    </row>
    <row collapsed="false" customFormat="false" customHeight="false" hidden="false" ht="12.1" outlineLevel="0" r="253">
      <c r="A253" s="35" t="n">
        <v>45643</v>
      </c>
      <c r="B253" s="2" t="s">
        <v>1163</v>
      </c>
      <c r="C253" s="2" t="s">
        <v>99</v>
      </c>
      <c r="D253" s="2" t="s">
        <v>100</v>
      </c>
      <c r="E253" s="6" t="n">
        <v>1000</v>
      </c>
      <c r="F253" s="7" t="n">
        <v>10</v>
      </c>
      <c r="G253" s="6" t="n">
        <v>86.31</v>
      </c>
      <c r="H253" s="6" t="n">
        <v>112</v>
      </c>
      <c r="I253" s="6" t="n">
        <v>863.1</v>
      </c>
      <c r="J253" s="6" t="n">
        <v>751.1</v>
      </c>
    </row>
    <row collapsed="false" customFormat="false" customHeight="false" hidden="false" ht="12.1" outlineLevel="0" r="254">
      <c r="A254" s="35" t="n">
        <v>45649</v>
      </c>
      <c r="B254" s="2" t="s">
        <v>1163</v>
      </c>
      <c r="C254" s="2" t="s">
        <v>769</v>
      </c>
      <c r="D254" s="2" t="s">
        <v>1170</v>
      </c>
      <c r="E254" s="6" t="n">
        <v>300</v>
      </c>
      <c r="F254" s="7" t="n">
        <v>1</v>
      </c>
      <c r="G254" s="6" t="n">
        <v>7.85</v>
      </c>
      <c r="H254" s="6" t="n">
        <v>1</v>
      </c>
      <c r="I254" s="6" t="n">
        <v>7.85</v>
      </c>
      <c r="J254" s="6" t="n">
        <v>6.85</v>
      </c>
    </row>
    <row collapsed="false" customFormat="false" customHeight="false" hidden="false" ht="12.1" outlineLevel="0" r="255">
      <c r="A255" s="35" t="n">
        <v>45649</v>
      </c>
      <c r="B255" s="2" t="s">
        <v>1163</v>
      </c>
      <c r="C255" s="2" t="s">
        <v>285</v>
      </c>
      <c r="D255" s="2" t="s">
        <v>286</v>
      </c>
      <c r="E255" s="6" t="n">
        <v>1000</v>
      </c>
      <c r="F255" s="7" t="n">
        <v>1</v>
      </c>
      <c r="G255" s="6" t="n">
        <v>11.18</v>
      </c>
      <c r="H255" s="6" t="n">
        <v>1</v>
      </c>
      <c r="I255" s="6" t="n">
        <v>11.18</v>
      </c>
      <c r="J255" s="6" t="n">
        <v>10.18</v>
      </c>
    </row>
    <row collapsed="false" customFormat="false" customHeight="false" hidden="false" ht="12.1" outlineLevel="0" r="256">
      <c r="A256" s="35" t="n">
        <v>45650</v>
      </c>
      <c r="B256" s="2" t="s">
        <v>1163</v>
      </c>
      <c r="C256" s="2" t="s">
        <v>234</v>
      </c>
      <c r="D256" s="2" t="s">
        <v>235</v>
      </c>
      <c r="E256" s="6" t="n">
        <v>1000</v>
      </c>
      <c r="F256" s="7" t="n">
        <v>1</v>
      </c>
      <c r="G256" s="6" t="n">
        <v>18.06</v>
      </c>
      <c r="H256" s="6" t="n">
        <v>2</v>
      </c>
      <c r="I256" s="6" t="n">
        <v>18.06</v>
      </c>
      <c r="J256" s="6" t="n">
        <v>16.06</v>
      </c>
    </row>
    <row collapsed="false" customFormat="false" customHeight="false" hidden="false" ht="12.1" outlineLevel="0" r="257">
      <c r="A257" s="35" t="n">
        <v>45651</v>
      </c>
      <c r="B257" s="2" t="s">
        <v>1163</v>
      </c>
      <c r="C257" s="2" t="s">
        <v>180</v>
      </c>
      <c r="D257" s="2" t="s">
        <v>181</v>
      </c>
      <c r="E257" s="6" t="n">
        <v>1000</v>
      </c>
      <c r="F257" s="7" t="n">
        <v>2</v>
      </c>
      <c r="G257" s="6" t="n">
        <v>18.16</v>
      </c>
      <c r="H257" s="6" t="n">
        <v>5</v>
      </c>
      <c r="I257" s="6" t="n">
        <v>36.32</v>
      </c>
      <c r="J257" s="6" t="n">
        <v>31.32</v>
      </c>
    </row>
    <row collapsed="false" customFormat="false" customHeight="false" hidden="false" ht="12.1" outlineLevel="0" r="258">
      <c r="A258" s="35" t="n">
        <v>45652</v>
      </c>
      <c r="B258" s="2" t="s">
        <v>1163</v>
      </c>
      <c r="C258" s="2" t="s">
        <v>213</v>
      </c>
      <c r="D258" s="2" t="s">
        <v>214</v>
      </c>
      <c r="E258" s="6" t="n">
        <v>800</v>
      </c>
      <c r="F258" s="7" t="n">
        <v>2</v>
      </c>
      <c r="G258" s="6" t="n">
        <v>26.33</v>
      </c>
      <c r="H258" s="6" t="n">
        <v>7</v>
      </c>
      <c r="I258" s="6" t="n">
        <v>52.66</v>
      </c>
      <c r="J258" s="6" t="n">
        <v>45.66</v>
      </c>
    </row>
    <row collapsed="false" customFormat="false" customHeight="false" hidden="false" ht="12.1" outlineLevel="0" r="259">
      <c r="A259" s="35" t="n">
        <v>45653</v>
      </c>
      <c r="B259" s="2" t="s">
        <v>1163</v>
      </c>
      <c r="C259" s="2" t="s">
        <v>183</v>
      </c>
      <c r="D259" s="2" t="s">
        <v>184</v>
      </c>
      <c r="E259" s="6" t="n">
        <v>1000</v>
      </c>
      <c r="F259" s="7" t="n">
        <v>2</v>
      </c>
      <c r="G259" s="6" t="n">
        <v>18.39</v>
      </c>
      <c r="H259" s="6" t="n">
        <v>5</v>
      </c>
      <c r="I259" s="6" t="n">
        <v>36.78</v>
      </c>
      <c r="J259" s="6" t="n">
        <v>31.78</v>
      </c>
    </row>
    <row collapsed="false" customFormat="false" customHeight="false" hidden="false" ht="12.1" outlineLevel="0" r="260">
      <c r="A260" s="35" t="n">
        <v>45658</v>
      </c>
      <c r="B260" s="2" t="s">
        <v>1163</v>
      </c>
      <c r="C260" s="2" t="s">
        <v>320</v>
      </c>
      <c r="D260" s="2" t="s">
        <v>321</v>
      </c>
      <c r="E260" s="6" t="n">
        <v>200</v>
      </c>
      <c r="F260" s="7" t="n">
        <v>1</v>
      </c>
      <c r="G260" s="6" t="n">
        <v>6.98</v>
      </c>
      <c r="H260" s="6" t="n">
        <v>1</v>
      </c>
      <c r="I260" s="6" t="n">
        <v>6.98</v>
      </c>
      <c r="J260" s="6" t="n">
        <v>5.98</v>
      </c>
    </row>
    <row collapsed="false" customFormat="false" customHeight="false" hidden="false" ht="12.1" outlineLevel="0" r="261">
      <c r="A261" s="35" t="n">
        <v>45671</v>
      </c>
      <c r="B261" s="2" t="s">
        <v>1163</v>
      </c>
      <c r="C261" s="2" t="s">
        <v>294</v>
      </c>
      <c r="D261" s="2" t="s">
        <v>295</v>
      </c>
      <c r="E261" s="6" t="n">
        <v>1000</v>
      </c>
      <c r="F261" s="7" t="n">
        <v>1</v>
      </c>
      <c r="G261" s="6" t="n">
        <v>26.18</v>
      </c>
      <c r="H261" s="6" t="n">
        <v>3</v>
      </c>
      <c r="I261" s="6" t="n">
        <v>26.18</v>
      </c>
      <c r="J261" s="6" t="n">
        <v>23.18</v>
      </c>
    </row>
    <row collapsed="false" customFormat="false" customHeight="false" hidden="false" ht="12.1" outlineLevel="0" r="262">
      <c r="A262" s="35" t="n">
        <v>45671</v>
      </c>
      <c r="B262" s="2" t="s">
        <v>1163</v>
      </c>
      <c r="C262" s="2" t="s">
        <v>177</v>
      </c>
      <c r="D262" s="2" t="s">
        <v>178</v>
      </c>
      <c r="E262" s="6" t="n">
        <v>1000</v>
      </c>
      <c r="F262" s="7" t="n">
        <v>2</v>
      </c>
      <c r="G262" s="6" t="n">
        <v>22.44</v>
      </c>
      <c r="H262" s="6" t="n">
        <v>6</v>
      </c>
      <c r="I262" s="6" t="n">
        <v>44.88</v>
      </c>
      <c r="J262" s="6" t="n">
        <v>38.88</v>
      </c>
    </row>
    <row collapsed="false" customFormat="false" customHeight="false" hidden="false" ht="12.1" outlineLevel="0" r="263">
      <c r="A263" s="35" t="n">
        <v>45676</v>
      </c>
      <c r="B263" s="2" t="s">
        <v>1163</v>
      </c>
      <c r="C263" s="2" t="s">
        <v>201</v>
      </c>
      <c r="D263" s="2" t="s">
        <v>202</v>
      </c>
      <c r="E263" s="6" t="n">
        <v>1000</v>
      </c>
      <c r="F263" s="7" t="n">
        <v>1</v>
      </c>
      <c r="G263" s="6" t="n">
        <v>54.35</v>
      </c>
      <c r="H263" s="6" t="n">
        <v>7</v>
      </c>
      <c r="I263" s="6" t="n">
        <v>54.35</v>
      </c>
      <c r="J263" s="6" t="n">
        <v>47.35</v>
      </c>
    </row>
    <row collapsed="false" customFormat="false" customHeight="false" hidden="false" ht="12.1" outlineLevel="0" r="264">
      <c r="A264" s="35" t="n">
        <v>45677</v>
      </c>
      <c r="B264" s="2" t="s">
        <v>1163</v>
      </c>
      <c r="C264" s="2" t="s">
        <v>308</v>
      </c>
      <c r="D264" s="2" t="s">
        <v>309</v>
      </c>
      <c r="E264" s="6" t="n">
        <v>1000</v>
      </c>
      <c r="F264" s="7" t="n">
        <v>1</v>
      </c>
      <c r="G264" s="6" t="n">
        <v>34.28</v>
      </c>
      <c r="H264" s="6" t="n">
        <v>4</v>
      </c>
      <c r="I264" s="6" t="n">
        <v>34.28</v>
      </c>
      <c r="J264" s="6" t="n">
        <v>30.28</v>
      </c>
    </row>
    <row collapsed="false" customFormat="false" customHeight="false" hidden="false" ht="12.1" outlineLevel="0" r="265">
      <c r="A265" s="35" t="n">
        <v>45678</v>
      </c>
      <c r="B265" s="2" t="s">
        <v>1163</v>
      </c>
      <c r="C265" s="2" t="s">
        <v>237</v>
      </c>
      <c r="D265" s="2" t="s">
        <v>238</v>
      </c>
      <c r="E265" s="6" t="n">
        <v>1000</v>
      </c>
      <c r="F265" s="7" t="n">
        <v>1</v>
      </c>
      <c r="G265" s="6" t="n">
        <v>55.05</v>
      </c>
      <c r="H265" s="6" t="n">
        <v>7</v>
      </c>
      <c r="I265" s="6" t="n">
        <v>55.05</v>
      </c>
      <c r="J265" s="6" t="n">
        <v>48.05</v>
      </c>
    </row>
    <row collapsed="false" customFormat="false" customHeight="false" hidden="false" ht="12.1" outlineLevel="0" r="266">
      <c r="A266" s="35" t="n">
        <v>45678</v>
      </c>
      <c r="B266" s="2" t="s">
        <v>1163</v>
      </c>
      <c r="C266" s="2" t="s">
        <v>270</v>
      </c>
      <c r="D266" s="2" t="s">
        <v>271</v>
      </c>
      <c r="E266" s="6" t="n">
        <v>1000</v>
      </c>
      <c r="F266" s="7" t="n">
        <v>1</v>
      </c>
      <c r="G266" s="6" t="n">
        <v>43.38</v>
      </c>
      <c r="H266" s="6" t="n">
        <v>6</v>
      </c>
      <c r="I266" s="6" t="n">
        <v>43.38</v>
      </c>
      <c r="J266" s="6" t="n">
        <v>37.38</v>
      </c>
    </row>
    <row collapsed="false" customFormat="false" customHeight="false" hidden="false" ht="12.1" outlineLevel="0" r="267">
      <c r="A267" s="35" t="n">
        <v>45679</v>
      </c>
      <c r="B267" s="2" t="s">
        <v>1163</v>
      </c>
      <c r="C267" s="2" t="s">
        <v>285</v>
      </c>
      <c r="D267" s="2" t="s">
        <v>286</v>
      </c>
      <c r="E267" s="6" t="n">
        <v>1000</v>
      </c>
      <c r="F267" s="7" t="n">
        <v>1</v>
      </c>
      <c r="G267" s="6" t="n">
        <v>11.18</v>
      </c>
      <c r="H267" s="6" t="n">
        <v>1</v>
      </c>
      <c r="I267" s="6" t="n">
        <v>11.18</v>
      </c>
      <c r="J267" s="6" t="n">
        <v>10.18</v>
      </c>
    </row>
    <row collapsed="false" customFormat="false" customHeight="false" hidden="false" ht="12.1" outlineLevel="0" r="268">
      <c r="A268" s="35" t="n">
        <v>45681</v>
      </c>
      <c r="B268" s="2" t="s">
        <v>1163</v>
      </c>
      <c r="C268" s="2" t="s">
        <v>234</v>
      </c>
      <c r="D268" s="2" t="s">
        <v>235</v>
      </c>
      <c r="E268" s="6" t="n">
        <v>1000</v>
      </c>
      <c r="F268" s="7" t="n">
        <v>1</v>
      </c>
      <c r="G268" s="6" t="n">
        <v>18.98</v>
      </c>
      <c r="H268" s="6" t="n">
        <v>2</v>
      </c>
      <c r="I268" s="6" t="n">
        <v>18.98</v>
      </c>
      <c r="J268" s="6" t="n">
        <v>16.98</v>
      </c>
    </row>
    <row collapsed="false" customFormat="false" customHeight="false" hidden="false" ht="12.1" outlineLevel="0" r="269">
      <c r="A269" s="35" t="n">
        <v>45681</v>
      </c>
      <c r="B269" s="2" t="s">
        <v>1163</v>
      </c>
      <c r="C269" s="2" t="s">
        <v>180</v>
      </c>
      <c r="D269" s="2" t="s">
        <v>181</v>
      </c>
      <c r="E269" s="6" t="n">
        <v>1000</v>
      </c>
      <c r="F269" s="7" t="n">
        <v>2</v>
      </c>
      <c r="G269" s="6" t="n">
        <v>18.16</v>
      </c>
      <c r="H269" s="6" t="n">
        <v>5</v>
      </c>
      <c r="I269" s="6" t="n">
        <v>36.32</v>
      </c>
      <c r="J269" s="6" t="n">
        <v>31.32</v>
      </c>
    </row>
    <row collapsed="false" customFormat="false" customHeight="false" hidden="false" ht="12.1" outlineLevel="0" r="270">
      <c r="A270" s="35" t="n">
        <v>45684</v>
      </c>
      <c r="B270" s="2" t="s">
        <v>1163</v>
      </c>
      <c r="C270" s="2" t="s">
        <v>291</v>
      </c>
      <c r="D270" s="2" t="s">
        <v>292</v>
      </c>
      <c r="E270" s="6" t="n">
        <v>1000</v>
      </c>
      <c r="F270" s="7" t="n">
        <v>1</v>
      </c>
      <c r="G270" s="6" t="n">
        <v>28.22</v>
      </c>
      <c r="H270" s="6" t="n">
        <v>4</v>
      </c>
      <c r="I270" s="6" t="n">
        <v>28.22</v>
      </c>
      <c r="J270" s="6" t="n">
        <v>24.22</v>
      </c>
    </row>
    <row collapsed="false" customFormat="false" customHeight="false" hidden="false" ht="12.1" outlineLevel="0" r="271">
      <c r="A271" s="35" t="n">
        <v>45684</v>
      </c>
      <c r="B271" s="2" t="s">
        <v>1163</v>
      </c>
      <c r="C271" s="2" t="s">
        <v>189</v>
      </c>
      <c r="D271" s="2" t="s">
        <v>190</v>
      </c>
      <c r="E271" s="6" t="n">
        <v>1000</v>
      </c>
      <c r="F271" s="7" t="n">
        <v>2</v>
      </c>
      <c r="G271" s="6" t="n">
        <v>29.17</v>
      </c>
      <c r="H271" s="6" t="n">
        <v>8</v>
      </c>
      <c r="I271" s="6" t="n">
        <v>58.34</v>
      </c>
      <c r="J271" s="6" t="n">
        <v>50.34</v>
      </c>
    </row>
    <row collapsed="false" customFormat="false" customHeight="false" hidden="false" ht="12.1" outlineLevel="0" r="272">
      <c r="A272" s="35" t="n">
        <v>45684</v>
      </c>
      <c r="B272" s="2" t="s">
        <v>1163</v>
      </c>
      <c r="C272" s="2" t="s">
        <v>183</v>
      </c>
      <c r="D272" s="2" t="s">
        <v>184</v>
      </c>
      <c r="E272" s="6" t="n">
        <v>1000</v>
      </c>
      <c r="F272" s="7" t="n">
        <v>2</v>
      </c>
      <c r="G272" s="6" t="n">
        <v>19.2</v>
      </c>
      <c r="H272" s="6" t="n">
        <v>5</v>
      </c>
      <c r="I272" s="6" t="n">
        <v>38.4</v>
      </c>
      <c r="J272" s="6" t="n">
        <v>33.4</v>
      </c>
    </row>
    <row collapsed="false" customFormat="false" customHeight="false" hidden="false" ht="12.1" outlineLevel="0" r="273">
      <c r="A273" s="35" t="n">
        <v>45685</v>
      </c>
      <c r="B273" s="2" t="s">
        <v>1163</v>
      </c>
      <c r="C273" s="2" t="s">
        <v>162</v>
      </c>
      <c r="D273" s="2" t="s">
        <v>163</v>
      </c>
      <c r="E273" s="6" t="n">
        <v>1000</v>
      </c>
      <c r="F273" s="7" t="n">
        <v>4</v>
      </c>
      <c r="G273" s="6" t="n">
        <v>34.41</v>
      </c>
      <c r="H273" s="6" t="n">
        <v>18</v>
      </c>
      <c r="I273" s="6" t="n">
        <v>137.64</v>
      </c>
      <c r="J273" s="6" t="n">
        <v>119.64</v>
      </c>
    </row>
    <row collapsed="false" customFormat="false" customHeight="false" hidden="false" ht="12.1" outlineLevel="0" r="274">
      <c r="A274" s="35" t="n">
        <v>45685</v>
      </c>
      <c r="B274" s="2" t="s">
        <v>1163</v>
      </c>
      <c r="C274" s="2" t="s">
        <v>95</v>
      </c>
      <c r="D274" s="2" t="s">
        <v>97</v>
      </c>
      <c r="E274" s="6" t="n">
        <v>1000</v>
      </c>
      <c r="F274" s="7" t="n">
        <v>30</v>
      </c>
      <c r="G274" s="6" t="n">
        <v>30.42</v>
      </c>
      <c r="H274" s="6" t="n">
        <v>119</v>
      </c>
      <c r="I274" s="6" t="n">
        <v>912.6</v>
      </c>
      <c r="J274" s="6" t="n">
        <v>793.6</v>
      </c>
    </row>
    <row collapsed="false" customFormat="false" customHeight="false" hidden="false" ht="12.1" outlineLevel="0" r="275">
      <c r="A275" s="35" t="n">
        <v>45685</v>
      </c>
      <c r="B275" s="2" t="s">
        <v>1163</v>
      </c>
      <c r="C275" s="2" t="s">
        <v>765</v>
      </c>
      <c r="D275" s="2" t="s">
        <v>1168</v>
      </c>
      <c r="E275" s="6" t="n">
        <v>1000</v>
      </c>
      <c r="F275" s="7" t="n">
        <v>1</v>
      </c>
      <c r="G275" s="6" t="n">
        <v>84.72</v>
      </c>
      <c r="H275" s="6" t="n">
        <v>11</v>
      </c>
      <c r="I275" s="6" t="n">
        <v>84.72</v>
      </c>
      <c r="J275" s="6" t="n">
        <v>73.72</v>
      </c>
    </row>
    <row collapsed="false" customFormat="false" customHeight="false" hidden="false" ht="12.1" outlineLevel="0" r="276">
      <c r="A276" s="35" t="n">
        <v>45685</v>
      </c>
      <c r="B276" s="2" t="s">
        <v>1163</v>
      </c>
      <c r="C276" s="2" t="s">
        <v>246</v>
      </c>
      <c r="D276" s="2" t="s">
        <v>247</v>
      </c>
      <c r="E276" s="6" t="n">
        <v>1000</v>
      </c>
      <c r="F276" s="7" t="n">
        <v>1</v>
      </c>
      <c r="G276" s="6" t="n">
        <v>51.52</v>
      </c>
      <c r="H276" s="6" t="n">
        <v>7</v>
      </c>
      <c r="I276" s="6" t="n">
        <v>51.52</v>
      </c>
      <c r="J276" s="6" t="n">
        <v>44.52</v>
      </c>
    </row>
    <row collapsed="false" customFormat="false" customHeight="false" hidden="false" ht="12.1" outlineLevel="0" r="277">
      <c r="A277" s="35" t="n">
        <v>45687</v>
      </c>
      <c r="B277" s="2" t="s">
        <v>1163</v>
      </c>
      <c r="C277" s="2" t="s">
        <v>297</v>
      </c>
      <c r="D277" s="2" t="s">
        <v>298</v>
      </c>
      <c r="E277" s="6" t="n">
        <v>1000</v>
      </c>
      <c r="F277" s="7" t="n">
        <v>1</v>
      </c>
      <c r="G277" s="6" t="n">
        <v>23.86</v>
      </c>
      <c r="H277" s="6" t="n">
        <v>3</v>
      </c>
      <c r="I277" s="6" t="n">
        <v>23.86</v>
      </c>
      <c r="J277" s="6" t="n">
        <v>20.86</v>
      </c>
    </row>
    <row collapsed="false" customFormat="false" customHeight="false" hidden="false" ht="12.1" outlineLevel="0" r="278">
      <c r="A278" s="35" t="n">
        <v>45687</v>
      </c>
      <c r="B278" s="2" t="s">
        <v>1163</v>
      </c>
      <c r="C278" s="2" t="s">
        <v>165</v>
      </c>
      <c r="D278" s="2" t="s">
        <v>166</v>
      </c>
      <c r="E278" s="6" t="n">
        <v>1000</v>
      </c>
      <c r="F278" s="7" t="n">
        <v>3</v>
      </c>
      <c r="G278" s="6" t="n">
        <v>59.84</v>
      </c>
      <c r="H278" s="6" t="n">
        <v>23</v>
      </c>
      <c r="I278" s="6" t="n">
        <v>179.52</v>
      </c>
      <c r="J278" s="6" t="n">
        <v>156.52</v>
      </c>
    </row>
    <row collapsed="false" customFormat="false" customHeight="false" hidden="false" ht="12.1" outlineLevel="0" r="279">
      <c r="A279" s="35" t="n">
        <v>45688</v>
      </c>
      <c r="B279" s="2" t="s">
        <v>1163</v>
      </c>
      <c r="C279" s="2" t="s">
        <v>252</v>
      </c>
      <c r="D279" s="2" t="s">
        <v>253</v>
      </c>
      <c r="E279" s="6" t="n">
        <v>1000</v>
      </c>
      <c r="F279" s="7" t="n">
        <v>1</v>
      </c>
      <c r="G279" s="6" t="n">
        <v>53.1</v>
      </c>
      <c r="H279" s="6" t="n">
        <v>7</v>
      </c>
      <c r="I279" s="6" t="n">
        <v>53.1</v>
      </c>
      <c r="J279" s="6" t="n">
        <v>46.1</v>
      </c>
    </row>
    <row collapsed="false" customFormat="false" customHeight="false" hidden="false" ht="12.1" outlineLevel="0" r="280">
      <c r="A280" s="35" t="n">
        <v>45692</v>
      </c>
      <c r="B280" s="2" t="s">
        <v>1163</v>
      </c>
      <c r="C280" s="2" t="s">
        <v>171</v>
      </c>
      <c r="D280" s="2" t="s">
        <v>172</v>
      </c>
      <c r="E280" s="6" t="n">
        <v>1000</v>
      </c>
      <c r="F280" s="7" t="n">
        <v>2</v>
      </c>
      <c r="G280" s="6" t="n">
        <v>19.58</v>
      </c>
      <c r="H280" s="6" t="n">
        <v>5</v>
      </c>
      <c r="I280" s="6" t="n">
        <v>39.16</v>
      </c>
      <c r="J280" s="6" t="n">
        <v>34.16</v>
      </c>
    </row>
    <row collapsed="false" customFormat="false" customHeight="false" hidden="false" ht="12.1" outlineLevel="0" r="281">
      <c r="A281" s="35" t="n">
        <v>45699</v>
      </c>
      <c r="B281" s="2" t="s">
        <v>1163</v>
      </c>
      <c r="C281" s="2" t="s">
        <v>108</v>
      </c>
      <c r="D281" s="2" t="s">
        <v>109</v>
      </c>
      <c r="E281" s="6" t="n">
        <v>1000</v>
      </c>
      <c r="F281" s="7" t="n">
        <v>18</v>
      </c>
      <c r="G281" s="6" t="n">
        <v>34.9</v>
      </c>
      <c r="H281" s="6" t="n">
        <v>82</v>
      </c>
      <c r="I281" s="6" t="n">
        <v>628.2</v>
      </c>
      <c r="J281" s="6" t="n">
        <v>546.2</v>
      </c>
    </row>
    <row collapsed="false" customFormat="false" customHeight="false" hidden="false" ht="12.1" outlineLevel="0" r="282">
      <c r="A282" s="35" t="n">
        <v>45699</v>
      </c>
      <c r="B282" s="2" t="s">
        <v>1163</v>
      </c>
      <c r="C282" s="2" t="s">
        <v>314</v>
      </c>
      <c r="D282" s="2" t="s">
        <v>315</v>
      </c>
      <c r="E282" s="6" t="n">
        <v>300</v>
      </c>
      <c r="F282" s="7" t="n">
        <v>1</v>
      </c>
      <c r="G282" s="6" t="n">
        <v>4.67</v>
      </c>
      <c r="H282" s="6" t="n">
        <v>1</v>
      </c>
      <c r="I282" s="6" t="n">
        <v>4.67</v>
      </c>
      <c r="J282" s="6" t="n">
        <v>3.67</v>
      </c>
    </row>
    <row collapsed="false" customFormat="false" customHeight="false" hidden="false" ht="12.1" outlineLevel="0" r="283">
      <c r="A283" s="35" t="n">
        <v>45701</v>
      </c>
      <c r="B283" s="2" t="s">
        <v>1163</v>
      </c>
      <c r="C283" s="2" t="s">
        <v>249</v>
      </c>
      <c r="D283" s="2" t="s">
        <v>250</v>
      </c>
      <c r="E283" s="6" t="n">
        <v>1000</v>
      </c>
      <c r="F283" s="7" t="n">
        <v>1</v>
      </c>
      <c r="G283" s="6" t="n">
        <v>51.61</v>
      </c>
      <c r="H283" s="6" t="n">
        <v>7</v>
      </c>
      <c r="I283" s="6" t="n">
        <v>51.61</v>
      </c>
      <c r="J283" s="6" t="n">
        <v>44.61</v>
      </c>
    </row>
    <row collapsed="false" customFormat="false" customHeight="false" hidden="false" ht="12.1" outlineLevel="0" r="284">
      <c r="A284" s="35" t="n">
        <v>45701</v>
      </c>
      <c r="B284" s="2" t="s">
        <v>1163</v>
      </c>
      <c r="C284" s="2" t="s">
        <v>168</v>
      </c>
      <c r="D284" s="2" t="s">
        <v>169</v>
      </c>
      <c r="E284" s="6" t="n">
        <v>1000</v>
      </c>
      <c r="F284" s="7" t="n">
        <v>3</v>
      </c>
      <c r="G284" s="6" t="n">
        <v>51.86</v>
      </c>
      <c r="H284" s="6" t="n">
        <v>20</v>
      </c>
      <c r="I284" s="6" t="n">
        <v>155.58</v>
      </c>
      <c r="J284" s="6" t="n">
        <v>135.58</v>
      </c>
    </row>
    <row collapsed="false" customFormat="false" customHeight="false" hidden="false" ht="12.1" outlineLevel="0" r="285">
      <c r="A285" s="35" t="n">
        <v>45704</v>
      </c>
      <c r="B285" s="2" t="s">
        <v>1163</v>
      </c>
      <c r="C285" s="2" t="s">
        <v>766</v>
      </c>
      <c r="D285" s="2" t="s">
        <v>1169</v>
      </c>
      <c r="E285" s="6" t="n">
        <v>400</v>
      </c>
      <c r="F285" s="7" t="n">
        <v>2</v>
      </c>
      <c r="G285" s="6" t="n">
        <v>12.96</v>
      </c>
      <c r="H285" s="6" t="n">
        <v>3</v>
      </c>
      <c r="I285" s="6" t="n">
        <v>25.92</v>
      </c>
      <c r="J285" s="6" t="n">
        <v>22.92</v>
      </c>
    </row>
    <row collapsed="false" customFormat="false" customHeight="false" hidden="false" ht="12.1" outlineLevel="0" r="286">
      <c r="A286" s="35" t="n">
        <v>45707</v>
      </c>
      <c r="B286" s="2" t="s">
        <v>1163</v>
      </c>
      <c r="C286" s="2" t="s">
        <v>311</v>
      </c>
      <c r="D286" s="2" t="s">
        <v>312</v>
      </c>
      <c r="E286" s="6" t="n">
        <v>500</v>
      </c>
      <c r="F286" s="7" t="n">
        <v>1</v>
      </c>
      <c r="G286" s="6" t="n">
        <v>8.66</v>
      </c>
      <c r="H286" s="6" t="n">
        <v>1</v>
      </c>
      <c r="I286" s="6" t="n">
        <v>8.66</v>
      </c>
      <c r="J286" s="6" t="n">
        <v>7.66</v>
      </c>
    </row>
    <row collapsed="false" customFormat="false" customHeight="false" hidden="false" ht="12.1" outlineLevel="0" r="287">
      <c r="A287" s="35" t="n">
        <v>45708</v>
      </c>
      <c r="B287" s="2" t="s">
        <v>1163</v>
      </c>
      <c r="C287" s="2" t="s">
        <v>195</v>
      </c>
      <c r="D287" s="2" t="s">
        <v>196</v>
      </c>
      <c r="E287" s="6" t="n">
        <v>1000</v>
      </c>
      <c r="F287" s="7" t="n">
        <v>2</v>
      </c>
      <c r="G287" s="6" t="n">
        <v>44.88</v>
      </c>
      <c r="H287" s="6" t="n">
        <v>12</v>
      </c>
      <c r="I287" s="6" t="n">
        <v>89.76</v>
      </c>
      <c r="J287" s="6" t="n">
        <v>77.76</v>
      </c>
    </row>
    <row collapsed="false" customFormat="false" customHeight="false" hidden="false" ht="12.1" outlineLevel="0" r="288">
      <c r="A288" s="35" t="n">
        <v>45709</v>
      </c>
      <c r="B288" s="2" t="s">
        <v>1163</v>
      </c>
      <c r="C288" s="2" t="s">
        <v>285</v>
      </c>
      <c r="D288" s="2" t="s">
        <v>286</v>
      </c>
      <c r="E288" s="6" t="n">
        <v>1000</v>
      </c>
      <c r="F288" s="7" t="n">
        <v>1</v>
      </c>
      <c r="G288" s="6" t="n">
        <v>11.18</v>
      </c>
      <c r="H288" s="6" t="n">
        <v>1</v>
      </c>
      <c r="I288" s="6" t="n">
        <v>11.18</v>
      </c>
      <c r="J288" s="6" t="n">
        <v>10.18</v>
      </c>
    </row>
    <row collapsed="false" customFormat="false" customHeight="false" hidden="false" ht="12.1" outlineLevel="0" r="289">
      <c r="A289" s="35" t="n">
        <v>45711</v>
      </c>
      <c r="B289" s="2" t="s">
        <v>1163</v>
      </c>
      <c r="C289" s="2" t="s">
        <v>180</v>
      </c>
      <c r="D289" s="2" t="s">
        <v>181</v>
      </c>
      <c r="E289" s="6" t="n">
        <v>1000</v>
      </c>
      <c r="F289" s="7" t="n">
        <v>2</v>
      </c>
      <c r="G289" s="6" t="n">
        <v>18.16</v>
      </c>
      <c r="H289" s="6" t="n">
        <v>5</v>
      </c>
      <c r="I289" s="6" t="n">
        <v>36.32</v>
      </c>
      <c r="J289" s="6" t="n">
        <v>31.32</v>
      </c>
    </row>
    <row collapsed="false" customFormat="false" customHeight="false" hidden="false" ht="12.1" outlineLevel="0" r="290">
      <c r="A290" s="35" t="n">
        <v>45712</v>
      </c>
      <c r="B290" s="2" t="s">
        <v>1163</v>
      </c>
      <c r="C290" s="2" t="s">
        <v>174</v>
      </c>
      <c r="D290" s="2" t="s">
        <v>175</v>
      </c>
      <c r="E290" s="6" t="n">
        <v>1000</v>
      </c>
      <c r="F290" s="7" t="n">
        <v>3</v>
      </c>
      <c r="G290" s="6" t="n">
        <v>24.93</v>
      </c>
      <c r="H290" s="6" t="n">
        <v>10</v>
      </c>
      <c r="I290" s="6" t="n">
        <v>74.79</v>
      </c>
      <c r="J290" s="6" t="n">
        <v>64.79</v>
      </c>
    </row>
    <row collapsed="false" customFormat="false" customHeight="false" hidden="false" ht="12.1" outlineLevel="0" r="291">
      <c r="A291" s="35" t="n">
        <v>45712</v>
      </c>
      <c r="B291" s="2" t="s">
        <v>1163</v>
      </c>
      <c r="C291" s="2" t="s">
        <v>234</v>
      </c>
      <c r="D291" s="2" t="s">
        <v>235</v>
      </c>
      <c r="E291" s="6" t="n">
        <v>1000</v>
      </c>
      <c r="F291" s="7" t="n">
        <v>1</v>
      </c>
      <c r="G291" s="6" t="n">
        <v>18.67</v>
      </c>
      <c r="H291" s="6" t="n">
        <v>2</v>
      </c>
      <c r="I291" s="6" t="n">
        <v>18.67</v>
      </c>
      <c r="J291" s="6" t="n">
        <v>16.67</v>
      </c>
    </row>
    <row collapsed="false" customFormat="false" customHeight="false" hidden="false" ht="12.1" outlineLevel="0" r="292">
      <c r="A292" s="35" t="n">
        <v>45715</v>
      </c>
      <c r="B292" s="2" t="s">
        <v>1163</v>
      </c>
      <c r="C292" s="2" t="s">
        <v>276</v>
      </c>
      <c r="D292" s="2" t="s">
        <v>277</v>
      </c>
      <c r="E292" s="6" t="n">
        <v>1000</v>
      </c>
      <c r="F292" s="7" t="n">
        <v>1</v>
      </c>
      <c r="G292" s="6" t="n">
        <v>24.81</v>
      </c>
      <c r="H292" s="6" t="n">
        <v>3</v>
      </c>
      <c r="I292" s="6" t="n">
        <v>24.81</v>
      </c>
      <c r="J292" s="6" t="n">
        <v>21.81</v>
      </c>
    </row>
    <row collapsed="false" customFormat="false" customHeight="false" hidden="false" ht="12.1" outlineLevel="0" r="293">
      <c r="A293" s="35" t="n">
        <v>45715</v>
      </c>
      <c r="B293" s="2" t="s">
        <v>1163</v>
      </c>
      <c r="C293" s="2" t="s">
        <v>183</v>
      </c>
      <c r="D293" s="2" t="s">
        <v>184</v>
      </c>
      <c r="E293" s="6" t="n">
        <v>1000</v>
      </c>
      <c r="F293" s="7" t="n">
        <v>2</v>
      </c>
      <c r="G293" s="6" t="n">
        <v>18.82</v>
      </c>
      <c r="H293" s="6" t="n">
        <v>5</v>
      </c>
      <c r="I293" s="6" t="n">
        <v>37.64</v>
      </c>
      <c r="J293" s="6" t="n">
        <v>32.64</v>
      </c>
    </row>
    <row collapsed="false" customFormat="false" customHeight="false" hidden="false" ht="12.1" outlineLevel="0" r="294">
      <c r="A294" s="35" t="n">
        <v>45718</v>
      </c>
      <c r="B294" s="2" t="s">
        <v>1163</v>
      </c>
      <c r="C294" s="2" t="s">
        <v>192</v>
      </c>
      <c r="D294" s="2" t="s">
        <v>193</v>
      </c>
      <c r="E294" s="6" t="n">
        <v>1000</v>
      </c>
      <c r="F294" s="7" t="n">
        <v>2</v>
      </c>
      <c r="G294" s="6" t="n">
        <v>19.95</v>
      </c>
      <c r="H294" s="6" t="n">
        <v>5</v>
      </c>
      <c r="I294" s="6" t="n">
        <v>39.9</v>
      </c>
      <c r="J294" s="6" t="n">
        <v>34.9</v>
      </c>
    </row>
    <row collapsed="false" customFormat="false" customHeight="false" hidden="false" ht="12.1" outlineLevel="0" r="295">
      <c r="A295" s="35" t="n">
        <v>45719</v>
      </c>
      <c r="B295" s="2" t="s">
        <v>1163</v>
      </c>
      <c r="C295" s="2" t="s">
        <v>264</v>
      </c>
      <c r="D295" s="2" t="s">
        <v>265</v>
      </c>
      <c r="E295" s="6" t="n">
        <v>1000</v>
      </c>
      <c r="F295" s="7" t="n">
        <v>1</v>
      </c>
      <c r="G295" s="6" t="n">
        <v>29.17</v>
      </c>
      <c r="H295" s="6" t="n">
        <v>4</v>
      </c>
      <c r="I295" s="6" t="n">
        <v>29.17</v>
      </c>
      <c r="J295" s="6" t="n">
        <v>25.17</v>
      </c>
    </row>
    <row collapsed="false" customFormat="false" customHeight="false" hidden="false" ht="12.1" outlineLevel="0" r="296">
      <c r="A296" s="35" t="n">
        <v>45720</v>
      </c>
      <c r="B296" s="2" t="s">
        <v>1163</v>
      </c>
      <c r="C296" s="2" t="s">
        <v>303</v>
      </c>
      <c r="D296" s="2" t="s">
        <v>304</v>
      </c>
      <c r="E296" s="6" t="n">
        <v>1000</v>
      </c>
      <c r="F296" s="7" t="n">
        <v>1</v>
      </c>
      <c r="G296" s="6" t="n">
        <v>19.55</v>
      </c>
      <c r="H296" s="6" t="n">
        <v>3</v>
      </c>
      <c r="I296" s="6" t="n">
        <v>19.55</v>
      </c>
      <c r="J296" s="6" t="n">
        <v>16.55</v>
      </c>
    </row>
    <row collapsed="false" customFormat="false" customHeight="false" hidden="false" ht="12.1" outlineLevel="0" r="297">
      <c r="A297" s="35" t="n">
        <v>45720</v>
      </c>
      <c r="B297" s="2" t="s">
        <v>1163</v>
      </c>
      <c r="C297" s="2" t="s">
        <v>306</v>
      </c>
      <c r="D297" s="2" t="s">
        <v>307</v>
      </c>
      <c r="E297" s="6" t="n">
        <v>1000</v>
      </c>
      <c r="F297" s="7" t="n">
        <v>1</v>
      </c>
      <c r="G297" s="6" t="n">
        <v>19.87</v>
      </c>
      <c r="H297" s="6" t="n">
        <v>3</v>
      </c>
      <c r="I297" s="6" t="n">
        <v>19.87</v>
      </c>
      <c r="J297" s="6" t="n">
        <v>16.87</v>
      </c>
    </row>
    <row collapsed="false" customFormat="false" customHeight="false" hidden="false" ht="12.1" outlineLevel="0" r="298">
      <c r="A298" s="35" t="n">
        <v>45720</v>
      </c>
      <c r="B298" s="2" t="s">
        <v>1163</v>
      </c>
      <c r="C298" s="2" t="s">
        <v>225</v>
      </c>
      <c r="D298" s="2" t="s">
        <v>226</v>
      </c>
      <c r="E298" s="6" t="n">
        <v>1000</v>
      </c>
      <c r="F298" s="7" t="n">
        <v>1</v>
      </c>
      <c r="G298" s="6" t="n">
        <v>87.01</v>
      </c>
      <c r="H298" s="6" t="n">
        <v>11</v>
      </c>
      <c r="I298" s="6" t="n">
        <v>87.01</v>
      </c>
      <c r="J298" s="6" t="n">
        <v>76.01</v>
      </c>
    </row>
    <row collapsed="false" customFormat="false" customHeight="false" hidden="false" ht="12.1" outlineLevel="0" r="299">
      <c r="A299" s="35" t="n">
        <v>45720</v>
      </c>
      <c r="B299" s="2" t="s">
        <v>1163</v>
      </c>
      <c r="C299" s="2" t="s">
        <v>159</v>
      </c>
      <c r="D299" s="2" t="s">
        <v>160</v>
      </c>
      <c r="E299" s="6" t="n">
        <v>1000</v>
      </c>
      <c r="F299" s="7" t="n">
        <v>4</v>
      </c>
      <c r="G299" s="6" t="n">
        <v>44.88</v>
      </c>
      <c r="H299" s="6" t="n">
        <v>23</v>
      </c>
      <c r="I299" s="6" t="n">
        <v>179.52</v>
      </c>
      <c r="J299" s="6" t="n">
        <v>156.52</v>
      </c>
    </row>
    <row collapsed="false" customFormat="false" customHeight="false" hidden="false" ht="12.1" outlineLevel="0" r="300">
      <c r="A300" s="35" t="n">
        <v>45721</v>
      </c>
      <c r="B300" s="2" t="s">
        <v>1163</v>
      </c>
      <c r="C300" s="2" t="s">
        <v>317</v>
      </c>
      <c r="D300" s="2" t="s">
        <v>318</v>
      </c>
      <c r="E300" s="6" t="n">
        <v>330</v>
      </c>
      <c r="F300" s="7" t="n">
        <v>1</v>
      </c>
      <c r="G300" s="6" t="n">
        <v>8.15</v>
      </c>
      <c r="H300" s="6" t="n">
        <v>1</v>
      </c>
      <c r="I300" s="6" t="n">
        <v>8.15</v>
      </c>
      <c r="J300" s="6" t="n">
        <v>7.15</v>
      </c>
    </row>
    <row collapsed="false" customFormat="false" customHeight="false" hidden="false" ht="12.1" outlineLevel="0" r="301">
      <c r="A301" s="35" t="n">
        <v>45721</v>
      </c>
      <c r="B301" s="2" t="s">
        <v>1163</v>
      </c>
      <c r="C301" s="2" t="s">
        <v>240</v>
      </c>
      <c r="D301" s="2" t="s">
        <v>241</v>
      </c>
      <c r="E301" s="6" t="n">
        <v>1000</v>
      </c>
      <c r="F301" s="7" t="n">
        <v>1</v>
      </c>
      <c r="G301" s="6" t="n">
        <v>35.53</v>
      </c>
      <c r="H301" s="6" t="n">
        <v>5</v>
      </c>
      <c r="I301" s="6" t="n">
        <v>35.53</v>
      </c>
      <c r="J301" s="6" t="n">
        <v>30.53</v>
      </c>
    </row>
    <row collapsed="false" customFormat="false" customHeight="false" hidden="false" ht="12.1" outlineLevel="0" r="302">
      <c r="A302" s="35" t="n">
        <v>45729</v>
      </c>
      <c r="B302" s="2" t="s">
        <v>1163</v>
      </c>
      <c r="C302" s="2" t="s">
        <v>210</v>
      </c>
      <c r="D302" s="2" t="s">
        <v>211</v>
      </c>
      <c r="E302" s="6" t="n">
        <v>1000</v>
      </c>
      <c r="F302" s="7" t="n">
        <v>2</v>
      </c>
      <c r="G302" s="6" t="n">
        <v>17.83</v>
      </c>
      <c r="H302" s="6" t="n">
        <v>5</v>
      </c>
      <c r="I302" s="6" t="n">
        <v>35.66</v>
      </c>
      <c r="J302" s="6" t="n">
        <v>30.66</v>
      </c>
    </row>
    <row collapsed="false" customFormat="false" customHeight="false" hidden="false" ht="12.1" outlineLevel="0" r="303">
      <c r="A303" s="35" t="n">
        <v>45733</v>
      </c>
      <c r="B303" s="2" t="s">
        <v>1163</v>
      </c>
      <c r="C303" s="2" t="s">
        <v>279</v>
      </c>
      <c r="D303" s="2" t="s">
        <v>280</v>
      </c>
      <c r="E303" s="6" t="n">
        <v>1000</v>
      </c>
      <c r="F303" s="7" t="n">
        <v>1</v>
      </c>
      <c r="G303" s="6" t="n">
        <v>39.39</v>
      </c>
      <c r="H303" s="6" t="n">
        <v>5</v>
      </c>
      <c r="I303" s="6" t="n">
        <v>39.39</v>
      </c>
      <c r="J303" s="6" t="n">
        <v>34.39</v>
      </c>
    </row>
    <row collapsed="false" customFormat="false" customHeight="false" hidden="false" ht="12.1" outlineLevel="0" r="304">
      <c r="A304" s="35" t="n">
        <v>45734</v>
      </c>
      <c r="B304" s="2" t="s">
        <v>1163</v>
      </c>
      <c r="C304" s="2" t="s">
        <v>117</v>
      </c>
      <c r="D304" s="2" t="s">
        <v>118</v>
      </c>
      <c r="E304" s="6" t="n">
        <v>1000</v>
      </c>
      <c r="F304" s="7" t="n">
        <v>14</v>
      </c>
      <c r="G304" s="6" t="n">
        <v>29.42</v>
      </c>
      <c r="H304" s="6" t="n">
        <v>54</v>
      </c>
      <c r="I304" s="6" t="n">
        <v>411.88</v>
      </c>
      <c r="J304" s="6" t="n">
        <v>357.88</v>
      </c>
    </row>
    <row collapsed="false" customFormat="false" customHeight="false" hidden="false" ht="12.1" outlineLevel="0" r="305">
      <c r="A305" s="35" t="n">
        <v>45739</v>
      </c>
      <c r="B305" s="2" t="s">
        <v>1163</v>
      </c>
      <c r="C305" s="2" t="s">
        <v>285</v>
      </c>
      <c r="D305" s="2" t="s">
        <v>286</v>
      </c>
      <c r="E305" s="6" t="n">
        <v>1000</v>
      </c>
      <c r="F305" s="7" t="n">
        <v>1</v>
      </c>
      <c r="G305" s="6" t="n">
        <v>11.18</v>
      </c>
      <c r="H305" s="6" t="n">
        <v>1</v>
      </c>
      <c r="I305" s="6" t="n">
        <v>11.18</v>
      </c>
      <c r="J305" s="6" t="n">
        <v>10.18</v>
      </c>
    </row>
    <row collapsed="false" customFormat="false" customHeight="false" hidden="false" ht="12.1" outlineLevel="0" r="306">
      <c r="A306" s="35" t="n">
        <v>45739</v>
      </c>
      <c r="B306" s="2" t="s">
        <v>1163</v>
      </c>
      <c r="C306" s="2" t="s">
        <v>198</v>
      </c>
      <c r="D306" s="2" t="s">
        <v>199</v>
      </c>
      <c r="E306" s="6" t="n">
        <v>1000</v>
      </c>
      <c r="F306" s="7" t="n">
        <v>2</v>
      </c>
      <c r="G306" s="6" t="n">
        <v>45.38</v>
      </c>
      <c r="H306" s="6" t="n">
        <v>12</v>
      </c>
      <c r="I306" s="6" t="n">
        <v>90.76</v>
      </c>
      <c r="J306" s="6" t="n">
        <v>78.76</v>
      </c>
    </row>
    <row collapsed="false" customFormat="false" customHeight="false" hidden="false" ht="12.1" outlineLevel="0" r="307">
      <c r="A307" s="35" t="n">
        <v>45740</v>
      </c>
      <c r="B307" s="2" t="s">
        <v>1163</v>
      </c>
      <c r="C307" s="2" t="s">
        <v>769</v>
      </c>
      <c r="D307" s="2" t="s">
        <v>1170</v>
      </c>
      <c r="E307" s="6" t="n">
        <v>150</v>
      </c>
      <c r="F307" s="7" t="n">
        <v>1</v>
      </c>
      <c r="G307" s="6" t="n">
        <v>3.93</v>
      </c>
      <c r="H307" s="6" t="n">
        <v>1</v>
      </c>
      <c r="I307" s="6" t="n">
        <v>3.93</v>
      </c>
      <c r="J307" s="6" t="n">
        <v>2.93</v>
      </c>
    </row>
    <row collapsed="false" customFormat="false" customHeight="false" hidden="false" ht="12.1" outlineLevel="0" r="308">
      <c r="A308" s="35" t="n">
        <v>45741</v>
      </c>
      <c r="B308" s="2" t="s">
        <v>1163</v>
      </c>
      <c r="C308" s="2" t="s">
        <v>144</v>
      </c>
      <c r="D308" s="2" t="s">
        <v>145</v>
      </c>
      <c r="E308" s="6" t="n">
        <v>1000</v>
      </c>
      <c r="F308" s="7" t="n">
        <v>5</v>
      </c>
      <c r="G308" s="6" t="n">
        <v>59.84</v>
      </c>
      <c r="H308" s="6" t="n">
        <v>39</v>
      </c>
      <c r="I308" s="6" t="n">
        <v>299.2</v>
      </c>
      <c r="J308" s="6" t="n">
        <v>260.2</v>
      </c>
    </row>
    <row collapsed="false" customFormat="false" customHeight="false" hidden="false" ht="12.1" outlineLevel="0" r="309">
      <c r="A309" s="35" t="n">
        <v>45741</v>
      </c>
      <c r="B309" s="2" t="s">
        <v>1163</v>
      </c>
      <c r="C309" s="2" t="s">
        <v>138</v>
      </c>
      <c r="D309" s="2" t="s">
        <v>139</v>
      </c>
      <c r="E309" s="6" t="n">
        <v>1000</v>
      </c>
      <c r="F309" s="7" t="n">
        <v>7</v>
      </c>
      <c r="G309" s="6" t="n">
        <v>56.1</v>
      </c>
      <c r="H309" s="6" t="n">
        <v>51</v>
      </c>
      <c r="I309" s="6" t="n">
        <v>392.7</v>
      </c>
      <c r="J309" s="6" t="n">
        <v>341.7</v>
      </c>
    </row>
    <row collapsed="false" customFormat="false" customHeight="false" hidden="false" ht="12.1" outlineLevel="0" r="310">
      <c r="A310" s="35" t="n">
        <v>45741</v>
      </c>
      <c r="B310" s="2" t="s">
        <v>1163</v>
      </c>
      <c r="C310" s="2" t="s">
        <v>180</v>
      </c>
      <c r="D310" s="2" t="s">
        <v>181</v>
      </c>
      <c r="E310" s="6" t="n">
        <v>1000</v>
      </c>
      <c r="F310" s="7" t="n">
        <v>2</v>
      </c>
      <c r="G310" s="6" t="n">
        <v>18.16</v>
      </c>
      <c r="H310" s="6" t="n">
        <v>5</v>
      </c>
      <c r="I310" s="6" t="n">
        <v>36.32</v>
      </c>
      <c r="J310" s="6" t="n">
        <v>31.32</v>
      </c>
    </row>
    <row collapsed="false" customFormat="false" customHeight="false" hidden="false" ht="12.1" outlineLevel="0" r="311">
      <c r="A311" s="35" t="n">
        <v>45741</v>
      </c>
      <c r="B311" s="2" t="s">
        <v>1163</v>
      </c>
      <c r="C311" s="2" t="s">
        <v>153</v>
      </c>
      <c r="D311" s="2" t="s">
        <v>154</v>
      </c>
      <c r="E311" s="6" t="n">
        <v>1000</v>
      </c>
      <c r="F311" s="7" t="n">
        <v>4</v>
      </c>
      <c r="G311" s="6" t="n">
        <v>17.13</v>
      </c>
      <c r="H311" s="6" t="n">
        <v>9</v>
      </c>
      <c r="I311" s="6" t="n">
        <v>68.52</v>
      </c>
      <c r="J311" s="6" t="n">
        <v>59.52</v>
      </c>
    </row>
    <row collapsed="false" customFormat="false" customHeight="false" hidden="false" ht="12.1" outlineLevel="0" r="312">
      <c r="A312" s="35" t="n">
        <v>45741</v>
      </c>
      <c r="B312" s="2" t="s">
        <v>1163</v>
      </c>
      <c r="C312" s="2" t="s">
        <v>126</v>
      </c>
      <c r="D312" s="2" t="s">
        <v>127</v>
      </c>
      <c r="E312" s="6" t="n">
        <v>1000</v>
      </c>
      <c r="F312" s="7" t="n">
        <v>10</v>
      </c>
      <c r="G312" s="6" t="n">
        <v>42.38</v>
      </c>
      <c r="H312" s="6" t="n">
        <v>55</v>
      </c>
      <c r="I312" s="6" t="n">
        <v>423.8</v>
      </c>
      <c r="J312" s="6" t="n">
        <v>368.8</v>
      </c>
    </row>
    <row collapsed="false" customFormat="false" customHeight="false" hidden="false" ht="12.1" outlineLevel="0" r="313">
      <c r="A313" s="35" t="n">
        <v>45743</v>
      </c>
      <c r="B313" s="2" t="s">
        <v>1163</v>
      </c>
      <c r="C313" s="2" t="s">
        <v>282</v>
      </c>
      <c r="D313" s="2" t="s">
        <v>283</v>
      </c>
      <c r="E313" s="6" t="n">
        <v>1000</v>
      </c>
      <c r="F313" s="7" t="n">
        <v>1</v>
      </c>
      <c r="G313" s="6" t="n">
        <v>52.36</v>
      </c>
      <c r="H313" s="6" t="n">
        <v>7</v>
      </c>
      <c r="I313" s="6" t="n">
        <v>52.36</v>
      </c>
      <c r="J313" s="6" t="n">
        <v>45.36</v>
      </c>
    </row>
    <row collapsed="false" customFormat="false" customHeight="false" hidden="false" ht="12.1" outlineLevel="0" r="314">
      <c r="A314" s="35" t="n">
        <v>45743</v>
      </c>
      <c r="B314" s="2" t="s">
        <v>1163</v>
      </c>
      <c r="C314" s="2" t="s">
        <v>234</v>
      </c>
      <c r="D314" s="2" t="s">
        <v>235</v>
      </c>
      <c r="E314" s="6" t="n">
        <v>1000</v>
      </c>
      <c r="F314" s="7" t="n">
        <v>1</v>
      </c>
      <c r="G314" s="6" t="n">
        <v>18.7</v>
      </c>
      <c r="H314" s="6" t="n">
        <v>2</v>
      </c>
      <c r="I314" s="6" t="n">
        <v>18.7</v>
      </c>
      <c r="J314" s="6" t="n">
        <v>16.7</v>
      </c>
    </row>
    <row collapsed="false" customFormat="false" customHeight="false" hidden="false" ht="12.1" outlineLevel="0" r="315">
      <c r="A315" s="35" t="n">
        <v>45746</v>
      </c>
      <c r="B315" s="2" t="s">
        <v>1163</v>
      </c>
      <c r="C315" s="2" t="s">
        <v>183</v>
      </c>
      <c r="D315" s="2" t="s">
        <v>184</v>
      </c>
      <c r="E315" s="6" t="n">
        <v>1000</v>
      </c>
      <c r="F315" s="7" t="n">
        <v>2</v>
      </c>
      <c r="G315" s="6" t="n">
        <v>18.86</v>
      </c>
      <c r="H315" s="6" t="n">
        <v>5</v>
      </c>
      <c r="I315" s="6" t="n">
        <v>37.72</v>
      </c>
      <c r="J315" s="6" t="n">
        <v>32.72</v>
      </c>
    </row>
    <row collapsed="false" customFormat="false" customHeight="false" hidden="false" ht="12.1" outlineLevel="0" r="316">
      <c r="A316" s="35" t="n">
        <v>45748</v>
      </c>
      <c r="B316" s="2" t="s">
        <v>1163</v>
      </c>
      <c r="C316" s="2" t="s">
        <v>111</v>
      </c>
      <c r="D316" s="2" t="s">
        <v>112</v>
      </c>
      <c r="E316" s="6" t="n">
        <v>1000</v>
      </c>
      <c r="F316" s="7" t="n">
        <v>17</v>
      </c>
      <c r="G316" s="6" t="n">
        <v>38.39</v>
      </c>
      <c r="H316" s="6" t="n">
        <v>85</v>
      </c>
      <c r="I316" s="6" t="n">
        <v>652.63</v>
      </c>
      <c r="J316" s="6" t="n">
        <v>567.63</v>
      </c>
    </row>
    <row collapsed="false" customFormat="false" customHeight="false" hidden="false" ht="12.1" outlineLevel="0" r="317">
      <c r="A317" s="35" t="n">
        <v>45748</v>
      </c>
      <c r="B317" s="2" t="s">
        <v>1163</v>
      </c>
      <c r="C317" s="2" t="s">
        <v>132</v>
      </c>
      <c r="D317" s="2" t="s">
        <v>133</v>
      </c>
      <c r="E317" s="6" t="n">
        <v>1000</v>
      </c>
      <c r="F317" s="7" t="n">
        <v>9</v>
      </c>
      <c r="G317" s="6" t="n">
        <v>38.39</v>
      </c>
      <c r="H317" s="6" t="n">
        <v>45</v>
      </c>
      <c r="I317" s="6" t="n">
        <v>345.51</v>
      </c>
      <c r="J317" s="6" t="n">
        <v>300.51</v>
      </c>
    </row>
    <row collapsed="false" customFormat="false" customHeight="false" hidden="false" ht="12.1" outlineLevel="0" r="318">
      <c r="A318" s="35" t="n">
        <v>45749</v>
      </c>
      <c r="B318" s="2" t="s">
        <v>1163</v>
      </c>
      <c r="C318" s="2" t="s">
        <v>320</v>
      </c>
      <c r="D318" s="2" t="s">
        <v>321</v>
      </c>
      <c r="E318" s="6" t="n">
        <v>200</v>
      </c>
      <c r="F318" s="7" t="n">
        <v>1</v>
      </c>
      <c r="G318" s="6" t="n">
        <v>6.98</v>
      </c>
      <c r="H318" s="6" t="n">
        <v>1</v>
      </c>
      <c r="I318" s="6" t="n">
        <v>6.98</v>
      </c>
      <c r="J318" s="6" t="n">
        <v>5.98</v>
      </c>
    </row>
    <row collapsed="false" customFormat="false" customHeight="false" hidden="false" ht="12.1" outlineLevel="0" r="319">
      <c r="A319" s="35" t="n">
        <v>45752</v>
      </c>
      <c r="B319" s="2" t="s">
        <v>1163</v>
      </c>
      <c r="C319" s="2" t="s">
        <v>228</v>
      </c>
      <c r="D319" s="2" t="s">
        <v>229</v>
      </c>
      <c r="E319" s="6" t="n">
        <v>1000</v>
      </c>
      <c r="F319" s="7" t="n">
        <v>1</v>
      </c>
      <c r="G319" s="6" t="n">
        <v>18.76</v>
      </c>
      <c r="H319" s="6" t="n">
        <v>2</v>
      </c>
      <c r="I319" s="6" t="n">
        <v>18.76</v>
      </c>
      <c r="J319" s="6" t="n">
        <v>16.76</v>
      </c>
    </row>
    <row collapsed="false" customFormat="false" customHeight="false" hidden="false" ht="12.1" outlineLevel="0" r="320">
      <c r="A320" s="35" t="n">
        <v>45755</v>
      </c>
      <c r="B320" s="2" t="s">
        <v>1163</v>
      </c>
      <c r="C320" s="2" t="s">
        <v>156</v>
      </c>
      <c r="D320" s="2" t="s">
        <v>157</v>
      </c>
      <c r="E320" s="6" t="n">
        <v>0</v>
      </c>
      <c r="F320" s="7" t="n">
        <v>3</v>
      </c>
      <c r="G320" s="6" t="n">
        <v>59.84</v>
      </c>
      <c r="H320" s="6" t="n">
        <v>23</v>
      </c>
      <c r="I320" s="6" t="n">
        <v>179.52</v>
      </c>
      <c r="J320" s="6" t="n">
        <v>156.52</v>
      </c>
    </row>
    <row collapsed="false" customFormat="false" customHeight="false" hidden="false" ht="12.1" outlineLevel="0" r="321">
      <c r="A321" s="35" t="n">
        <v>45755</v>
      </c>
      <c r="B321" s="2" t="s">
        <v>1163</v>
      </c>
      <c r="C321" s="2" t="s">
        <v>141</v>
      </c>
      <c r="D321" s="2" t="s">
        <v>142</v>
      </c>
      <c r="E321" s="6" t="n">
        <v>1000</v>
      </c>
      <c r="F321" s="7" t="n">
        <v>5</v>
      </c>
      <c r="G321" s="6" t="n">
        <v>90.15</v>
      </c>
      <c r="H321" s="6" t="n">
        <v>59</v>
      </c>
      <c r="I321" s="6" t="n">
        <v>450.75</v>
      </c>
      <c r="J321" s="6" t="n">
        <v>391.75</v>
      </c>
    </row>
    <row collapsed="false" customFormat="false" customHeight="false" hidden="false" ht="12.1" outlineLevel="0" r="322">
      <c r="A322" s="35" t="n">
        <v>45761</v>
      </c>
      <c r="B322" s="2" t="s">
        <v>1163</v>
      </c>
      <c r="C322" s="2" t="s">
        <v>243</v>
      </c>
      <c r="D322" s="2" t="s">
        <v>244</v>
      </c>
      <c r="E322" s="6" t="n">
        <v>1000</v>
      </c>
      <c r="F322" s="7" t="n">
        <v>1</v>
      </c>
      <c r="G322" s="6" t="n">
        <v>18.84</v>
      </c>
      <c r="H322" s="6" t="n">
        <v>2</v>
      </c>
      <c r="I322" s="6" t="n">
        <v>18.84</v>
      </c>
      <c r="J322" s="6" t="n">
        <v>16.84</v>
      </c>
    </row>
    <row collapsed="false" customFormat="false" customHeight="false" hidden="false" ht="12.1" outlineLevel="0" r="323">
      <c r="A323" s="35" t="n">
        <v>45761</v>
      </c>
      <c r="B323" s="2" t="s">
        <v>1163</v>
      </c>
      <c r="C323" s="2" t="s">
        <v>207</v>
      </c>
      <c r="D323" s="2" t="s">
        <v>208</v>
      </c>
      <c r="E323" s="6" t="n">
        <v>1000</v>
      </c>
      <c r="F323" s="7" t="n">
        <v>1</v>
      </c>
      <c r="G323" s="6" t="n">
        <v>24.93</v>
      </c>
      <c r="H323" s="6" t="n">
        <v>3</v>
      </c>
      <c r="I323" s="6" t="n">
        <v>24.93</v>
      </c>
      <c r="J323" s="6" t="n">
        <v>21.93</v>
      </c>
    </row>
    <row collapsed="false" customFormat="false" customHeight="false" hidden="false" ht="12.1" outlineLevel="0" r="324">
      <c r="A324" s="35" t="n">
        <v>45762</v>
      </c>
      <c r="B324" s="2" t="s">
        <v>1163</v>
      </c>
      <c r="C324" s="2" t="s">
        <v>114</v>
      </c>
      <c r="D324" s="2" t="s">
        <v>115</v>
      </c>
      <c r="E324" s="6" t="n">
        <v>1000</v>
      </c>
      <c r="F324" s="7" t="n">
        <v>13</v>
      </c>
      <c r="G324" s="6" t="n">
        <v>38.15</v>
      </c>
      <c r="H324" s="6" t="n">
        <v>64</v>
      </c>
      <c r="I324" s="6" t="n">
        <v>495.95</v>
      </c>
      <c r="J324" s="6" t="n">
        <v>431.95</v>
      </c>
    </row>
    <row collapsed="false" customFormat="false" customHeight="false" hidden="false" ht="12.1" outlineLevel="0" r="325">
      <c r="A325" s="35" t="n">
        <v>45762</v>
      </c>
      <c r="B325" s="2" t="s">
        <v>1163</v>
      </c>
      <c r="C325" s="2" t="s">
        <v>294</v>
      </c>
      <c r="D325" s="2" t="s">
        <v>295</v>
      </c>
      <c r="E325" s="6" t="n">
        <v>1000</v>
      </c>
      <c r="F325" s="7" t="n">
        <v>1</v>
      </c>
      <c r="G325" s="6" t="n">
        <v>26.18</v>
      </c>
      <c r="H325" s="6" t="n">
        <v>3</v>
      </c>
      <c r="I325" s="6" t="n">
        <v>26.18</v>
      </c>
      <c r="J325" s="6" t="n">
        <v>23.18</v>
      </c>
    </row>
    <row collapsed="false" customFormat="false" customHeight="false" hidden="false" ht="12.1" outlineLevel="0" r="326">
      <c r="A326" s="35" t="n">
        <v>45762</v>
      </c>
      <c r="B326" s="2" t="s">
        <v>1163</v>
      </c>
      <c r="C326" s="2" t="s">
        <v>219</v>
      </c>
      <c r="D326" s="2" t="s">
        <v>220</v>
      </c>
      <c r="E326" s="6" t="n">
        <v>1000</v>
      </c>
      <c r="F326" s="7" t="n">
        <v>1</v>
      </c>
      <c r="G326" s="6" t="n">
        <v>97.23</v>
      </c>
      <c r="H326" s="6" t="n">
        <v>13</v>
      </c>
      <c r="I326" s="6" t="n">
        <v>97.23</v>
      </c>
      <c r="J326" s="6" t="n">
        <v>84.23</v>
      </c>
    </row>
    <row collapsed="false" customFormat="false" customHeight="false" hidden="false" ht="12.1" outlineLevel="0" r="327">
      <c r="A327" s="35" t="n">
        <v>45768</v>
      </c>
      <c r="B327" s="2" t="s">
        <v>1163</v>
      </c>
      <c r="C327" s="2" t="s">
        <v>308</v>
      </c>
      <c r="D327" s="2" t="s">
        <v>309</v>
      </c>
      <c r="E327" s="6" t="n">
        <v>835</v>
      </c>
      <c r="F327" s="7" t="n">
        <v>1</v>
      </c>
      <c r="G327" s="6" t="n">
        <v>28.62</v>
      </c>
      <c r="H327" s="6" t="n">
        <v>4</v>
      </c>
      <c r="I327" s="6" t="n">
        <v>28.62</v>
      </c>
      <c r="J327" s="6" t="n">
        <v>24.62</v>
      </c>
    </row>
    <row collapsed="false" customFormat="false" customHeight="false" hidden="false" ht="12.1" outlineLevel="0" r="328">
      <c r="A328" s="35" t="n">
        <v>45769</v>
      </c>
      <c r="B328" s="2" t="s">
        <v>1163</v>
      </c>
      <c r="C328" s="2" t="s">
        <v>285</v>
      </c>
      <c r="D328" s="2" t="s">
        <v>286</v>
      </c>
      <c r="E328" s="6" t="n">
        <v>1000</v>
      </c>
      <c r="F328" s="7" t="n">
        <v>1</v>
      </c>
      <c r="G328" s="6" t="n">
        <v>11.18</v>
      </c>
      <c r="H328" s="6" t="n">
        <v>1</v>
      </c>
      <c r="I328" s="6" t="n">
        <v>11.18</v>
      </c>
      <c r="J328" s="6" t="n">
        <v>10.18</v>
      </c>
    </row>
    <row collapsed="false" customFormat="false" customHeight="false" hidden="false" ht="12.1" outlineLevel="0" r="329">
      <c r="A329" s="35" t="n">
        <v>45769</v>
      </c>
      <c r="B329" s="2" t="s">
        <v>1163</v>
      </c>
      <c r="C329" s="2" t="s">
        <v>237</v>
      </c>
      <c r="D329" s="2" t="s">
        <v>238</v>
      </c>
      <c r="E329" s="6" t="n">
        <v>1000</v>
      </c>
      <c r="F329" s="7" t="n">
        <v>1</v>
      </c>
      <c r="G329" s="6" t="n">
        <v>56.52</v>
      </c>
      <c r="H329" s="6" t="n">
        <v>7</v>
      </c>
      <c r="I329" s="6" t="n">
        <v>56.52</v>
      </c>
      <c r="J329" s="6" t="n">
        <v>49.52</v>
      </c>
    </row>
    <row collapsed="false" customFormat="false" customHeight="false" hidden="false" ht="12.1" outlineLevel="0" r="330">
      <c r="A330" s="35" t="n">
        <v>45771</v>
      </c>
      <c r="B330" s="2" t="s">
        <v>1163</v>
      </c>
      <c r="C330" s="2" t="s">
        <v>180</v>
      </c>
      <c r="D330" s="2" t="s">
        <v>181</v>
      </c>
      <c r="E330" s="6" t="n">
        <v>1000</v>
      </c>
      <c r="F330" s="7" t="n">
        <v>2</v>
      </c>
      <c r="G330" s="6" t="n">
        <v>18.16</v>
      </c>
      <c r="H330" s="6" t="n">
        <v>5</v>
      </c>
      <c r="I330" s="6" t="n">
        <v>36.32</v>
      </c>
      <c r="J330" s="6" t="n">
        <v>31.32</v>
      </c>
    </row>
    <row collapsed="false" customFormat="false" customHeight="false" hidden="false" ht="12.1" outlineLevel="0" r="331">
      <c r="A331" s="35" t="n">
        <v>45774</v>
      </c>
      <c r="B331" s="2" t="s">
        <v>1163</v>
      </c>
      <c r="C331" s="2" t="s">
        <v>234</v>
      </c>
      <c r="D331" s="2" t="s">
        <v>235</v>
      </c>
      <c r="E331" s="6" t="n">
        <v>1000</v>
      </c>
      <c r="F331" s="7" t="n">
        <v>1</v>
      </c>
      <c r="G331" s="6" t="n">
        <v>19.17</v>
      </c>
      <c r="H331" s="6" t="n">
        <v>2</v>
      </c>
      <c r="I331" s="6" t="n">
        <v>19.17</v>
      </c>
      <c r="J331" s="6" t="n">
        <v>17.17</v>
      </c>
    </row>
    <row collapsed="false" customFormat="false" customHeight="false" hidden="false" ht="12.1" outlineLevel="0" r="332">
      <c r="A332" s="35" t="n">
        <v>45775</v>
      </c>
      <c r="B332" s="2" t="s">
        <v>1163</v>
      </c>
      <c r="C332" s="2" t="s">
        <v>291</v>
      </c>
      <c r="D332" s="2" t="s">
        <v>292</v>
      </c>
      <c r="E332" s="6" t="n">
        <v>1000</v>
      </c>
      <c r="F332" s="7" t="n">
        <v>1</v>
      </c>
      <c r="G332" s="6" t="n">
        <v>28.22</v>
      </c>
      <c r="H332" s="6" t="n">
        <v>4</v>
      </c>
      <c r="I332" s="6" t="n">
        <v>28.22</v>
      </c>
      <c r="J332" s="6" t="n">
        <v>24.22</v>
      </c>
    </row>
    <row collapsed="false" customFormat="false" customHeight="false" hidden="false" ht="12.1" outlineLevel="0" r="333">
      <c r="A333" s="35" t="n">
        <v>45775</v>
      </c>
      <c r="B333" s="2" t="s">
        <v>1163</v>
      </c>
      <c r="C333" s="2" t="s">
        <v>189</v>
      </c>
      <c r="D333" s="2" t="s">
        <v>190</v>
      </c>
      <c r="E333" s="6" t="n">
        <v>1000</v>
      </c>
      <c r="F333" s="7" t="n">
        <v>2</v>
      </c>
      <c r="G333" s="6" t="n">
        <v>29.17</v>
      </c>
      <c r="H333" s="6" t="n">
        <v>8</v>
      </c>
      <c r="I333" s="6" t="n">
        <v>58.34</v>
      </c>
      <c r="J333" s="6" t="n">
        <v>50.34</v>
      </c>
    </row>
    <row collapsed="false" customFormat="false" customHeight="false" hidden="false" ht="12.1" outlineLevel="0" r="334">
      <c r="A334" s="35" t="n">
        <v>45776</v>
      </c>
      <c r="B334" s="2" t="s">
        <v>1163</v>
      </c>
      <c r="C334" s="2" t="s">
        <v>246</v>
      </c>
      <c r="D334" s="2" t="s">
        <v>247</v>
      </c>
      <c r="E334" s="6" t="n">
        <v>1000</v>
      </c>
      <c r="F334" s="7" t="n">
        <v>1</v>
      </c>
      <c r="G334" s="6" t="n">
        <v>52.59</v>
      </c>
      <c r="H334" s="6" t="n">
        <v>7</v>
      </c>
      <c r="I334" s="6" t="n">
        <v>52.59</v>
      </c>
      <c r="J334" s="6" t="n">
        <v>45.59</v>
      </c>
    </row>
    <row collapsed="false" customFormat="false" customHeight="false" hidden="false" ht="12.1" outlineLevel="0" r="335">
      <c r="A335" s="35" t="n">
        <v>45777</v>
      </c>
      <c r="B335" s="2" t="s">
        <v>1163</v>
      </c>
      <c r="C335" s="2" t="s">
        <v>761</v>
      </c>
      <c r="D335" s="2" t="s">
        <v>1167</v>
      </c>
      <c r="E335" s="6" t="n">
        <v>1000</v>
      </c>
      <c r="F335" s="7" t="n">
        <v>1</v>
      </c>
      <c r="G335" s="6" t="n">
        <v>42.38</v>
      </c>
      <c r="H335" s="6" t="n">
        <v>6</v>
      </c>
      <c r="I335" s="6" t="n">
        <v>42.38</v>
      </c>
      <c r="J335" s="6" t="n">
        <v>36.38</v>
      </c>
    </row>
    <row collapsed="false" customFormat="false" customHeight="false" hidden="false" ht="12.1" outlineLevel="0" r="336">
      <c r="A336" s="35" t="n">
        <v>45777</v>
      </c>
      <c r="B336" s="2" t="s">
        <v>1163</v>
      </c>
      <c r="C336" s="2" t="s">
        <v>183</v>
      </c>
      <c r="D336" s="2" t="s">
        <v>184</v>
      </c>
      <c r="E336" s="6" t="n">
        <v>1000</v>
      </c>
      <c r="F336" s="7" t="n">
        <v>2</v>
      </c>
      <c r="G336" s="6" t="n">
        <v>19.38</v>
      </c>
      <c r="H336" s="6" t="n">
        <v>5</v>
      </c>
      <c r="I336" s="6" t="n">
        <v>38.76</v>
      </c>
      <c r="J336" s="6" t="n">
        <v>33.76</v>
      </c>
    </row>
    <row collapsed="false" customFormat="false" customHeight="false" hidden="false" ht="12.1" outlineLevel="0" r="337">
      <c r="A337" s="35" t="n">
        <v>45778</v>
      </c>
      <c r="B337" s="2" t="s">
        <v>1163</v>
      </c>
      <c r="C337" s="2" t="s">
        <v>297</v>
      </c>
      <c r="D337" s="2" t="s">
        <v>298</v>
      </c>
      <c r="E337" s="6" t="n">
        <v>1000</v>
      </c>
      <c r="F337" s="7" t="n">
        <v>1</v>
      </c>
      <c r="G337" s="6" t="n">
        <v>23.86</v>
      </c>
      <c r="H337" s="6" t="n">
        <v>3</v>
      </c>
      <c r="I337" s="6" t="n">
        <v>23.86</v>
      </c>
      <c r="J337" s="6" t="n">
        <v>20.86</v>
      </c>
    </row>
    <row collapsed="false" customFormat="false" customHeight="false" hidden="false" ht="12.1" outlineLevel="0" r="338">
      <c r="A338" s="35" t="n">
        <v>45778</v>
      </c>
      <c r="B338" s="2" t="s">
        <v>1163</v>
      </c>
      <c r="C338" s="2" t="s">
        <v>267</v>
      </c>
      <c r="D338" s="2" t="s">
        <v>268</v>
      </c>
      <c r="E338" s="6" t="n">
        <v>1000</v>
      </c>
      <c r="F338" s="7" t="n">
        <v>1</v>
      </c>
      <c r="G338" s="6" t="n">
        <v>59.19</v>
      </c>
      <c r="H338" s="6" t="n">
        <v>8</v>
      </c>
      <c r="I338" s="6" t="n">
        <v>59.19</v>
      </c>
      <c r="J338" s="6" t="n">
        <v>51.19</v>
      </c>
    </row>
    <row collapsed="false" customFormat="false" customHeight="false" hidden="false" ht="12.1" outlineLevel="0" r="339">
      <c r="A339" s="35" t="n">
        <v>45783</v>
      </c>
      <c r="B339" s="2" t="s">
        <v>1163</v>
      </c>
      <c r="C339" s="2" t="s">
        <v>228</v>
      </c>
      <c r="D339" s="2" t="s">
        <v>229</v>
      </c>
      <c r="E339" s="6" t="n">
        <v>1000</v>
      </c>
      <c r="F339" s="7" t="n">
        <v>1</v>
      </c>
      <c r="G339" s="6" t="n">
        <v>19.24</v>
      </c>
      <c r="H339" s="6" t="n">
        <v>3</v>
      </c>
      <c r="I339" s="6" t="n">
        <v>19.24</v>
      </c>
      <c r="J339" s="6" t="n">
        <v>16.24</v>
      </c>
    </row>
    <row collapsed="false" customFormat="false" customHeight="false" hidden="false" ht="12.1" outlineLevel="0" r="340">
      <c r="A340" s="35" t="n">
        <v>45784</v>
      </c>
      <c r="B340" s="2" t="s">
        <v>1163</v>
      </c>
      <c r="C340" s="2" t="s">
        <v>216</v>
      </c>
      <c r="D340" s="2" t="s">
        <v>217</v>
      </c>
      <c r="E340" s="6" t="n">
        <v>0</v>
      </c>
      <c r="F340" s="7" t="n">
        <v>1</v>
      </c>
      <c r="G340" s="6" t="n">
        <v>19.11</v>
      </c>
      <c r="H340" s="6" t="n">
        <v>2</v>
      </c>
      <c r="I340" s="6" t="n">
        <v>19.11</v>
      </c>
      <c r="J340" s="6" t="n">
        <v>17.11</v>
      </c>
    </row>
    <row collapsed="false" customFormat="false" customHeight="false" hidden="false" ht="12.1" outlineLevel="0" r="341">
      <c r="A341" s="35" t="n">
        <v>45785</v>
      </c>
      <c r="B341" s="2" t="s">
        <v>1163</v>
      </c>
      <c r="C341" s="2" t="s">
        <v>204</v>
      </c>
      <c r="D341" s="2" t="s">
        <v>205</v>
      </c>
      <c r="E341" s="6" t="n">
        <v>1000</v>
      </c>
      <c r="F341" s="7" t="n">
        <v>2</v>
      </c>
      <c r="G341" s="6" t="n">
        <v>45.38</v>
      </c>
      <c r="H341" s="6" t="n">
        <v>12</v>
      </c>
      <c r="I341" s="6" t="n">
        <v>90.76</v>
      </c>
      <c r="J341" s="6" t="n">
        <v>78.76</v>
      </c>
    </row>
    <row collapsed="false" customFormat="false" customHeight="false" hidden="false" ht="12.1" outlineLevel="0" r="342">
      <c r="A342" s="35" t="n">
        <v>45790</v>
      </c>
      <c r="B342" s="2" t="s">
        <v>1163</v>
      </c>
      <c r="C342" s="2" t="s">
        <v>314</v>
      </c>
      <c r="D342" s="2" t="s">
        <v>315</v>
      </c>
      <c r="E342" s="6" t="n">
        <v>300</v>
      </c>
      <c r="F342" s="7" t="n">
        <v>1</v>
      </c>
      <c r="G342" s="6" t="n">
        <v>4.67</v>
      </c>
      <c r="H342" s="6" t="n">
        <v>1</v>
      </c>
      <c r="I342" s="6" t="n">
        <v>4.67</v>
      </c>
      <c r="J342" s="6" t="n">
        <v>3.67</v>
      </c>
    </row>
    <row collapsed="false" customFormat="false" customHeight="false" hidden="false" ht="12.1" outlineLevel="0" r="343">
      <c r="A343" s="35" t="n">
        <v>45790</v>
      </c>
      <c r="B343" s="2" t="s">
        <v>1163</v>
      </c>
      <c r="C343" s="2" t="s">
        <v>105</v>
      </c>
      <c r="D343" s="2" t="s">
        <v>106</v>
      </c>
      <c r="E343" s="6" t="n">
        <v>1000</v>
      </c>
      <c r="F343" s="7" t="n">
        <v>11</v>
      </c>
      <c r="G343" s="6" t="n">
        <v>93.99</v>
      </c>
      <c r="H343" s="6" t="n">
        <v>134</v>
      </c>
      <c r="I343" s="6" t="n">
        <v>1033.89</v>
      </c>
      <c r="J343" s="6" t="n">
        <v>899.89</v>
      </c>
    </row>
    <row collapsed="false" customFormat="false" customHeight="false" hidden="false" ht="12.1" outlineLevel="0" r="344">
      <c r="A344" s="35" t="n">
        <v>45792</v>
      </c>
      <c r="B344" s="2" t="s">
        <v>1163</v>
      </c>
      <c r="C344" s="2" t="s">
        <v>243</v>
      </c>
      <c r="D344" s="2" t="s">
        <v>244</v>
      </c>
      <c r="E344" s="6" t="n">
        <v>1000</v>
      </c>
      <c r="F344" s="7" t="n">
        <v>1</v>
      </c>
      <c r="G344" s="6" t="n">
        <v>19.21</v>
      </c>
      <c r="H344" s="6" t="n">
        <v>2</v>
      </c>
      <c r="I344" s="6" t="n">
        <v>19.21</v>
      </c>
      <c r="J344" s="6" t="n">
        <v>17.21</v>
      </c>
    </row>
    <row collapsed="false" customFormat="false" customHeight="false" hidden="false" ht="12.1" outlineLevel="0" r="345">
      <c r="A345" s="35" t="n">
        <v>45795</v>
      </c>
      <c r="B345" s="2" t="s">
        <v>1163</v>
      </c>
      <c r="C345" s="2" t="s">
        <v>766</v>
      </c>
      <c r="D345" s="2" t="s">
        <v>1169</v>
      </c>
      <c r="E345" s="6" t="n">
        <v>200</v>
      </c>
      <c r="F345" s="7" t="n">
        <v>2</v>
      </c>
      <c r="G345" s="6" t="n">
        <v>6.48</v>
      </c>
      <c r="H345" s="6" t="n">
        <v>2</v>
      </c>
      <c r="I345" s="6" t="n">
        <v>12.96</v>
      </c>
      <c r="J345" s="6" t="n">
        <v>10.96</v>
      </c>
    </row>
    <row collapsed="false" customFormat="false" customHeight="false" hidden="false" ht="12.1" outlineLevel="0" r="346">
      <c r="A346" s="35" t="n">
        <v>45797</v>
      </c>
      <c r="B346" s="2" t="s">
        <v>1163</v>
      </c>
      <c r="C346" s="2" t="s">
        <v>135</v>
      </c>
      <c r="D346" s="2" t="s">
        <v>136</v>
      </c>
      <c r="E346" s="6" t="n">
        <v>1000</v>
      </c>
      <c r="F346" s="7" t="n">
        <v>10</v>
      </c>
      <c r="G346" s="6" t="n">
        <v>36.15</v>
      </c>
      <c r="H346" s="6" t="n">
        <v>47</v>
      </c>
      <c r="I346" s="6" t="n">
        <v>361.5</v>
      </c>
      <c r="J346" s="6" t="n">
        <v>314.5</v>
      </c>
    </row>
    <row collapsed="false" customFormat="false" customHeight="false" hidden="false" ht="12.1" outlineLevel="0" r="347">
      <c r="A347" s="35" t="n">
        <v>45797</v>
      </c>
      <c r="B347" s="2" t="s">
        <v>1163</v>
      </c>
      <c r="C347" s="2" t="s">
        <v>150</v>
      </c>
      <c r="D347" s="2" t="s">
        <v>151</v>
      </c>
      <c r="E347" s="6" t="n">
        <v>1000</v>
      </c>
      <c r="F347" s="7" t="n">
        <v>6</v>
      </c>
      <c r="G347" s="6" t="n">
        <v>14.99</v>
      </c>
      <c r="H347" s="6" t="n">
        <v>12</v>
      </c>
      <c r="I347" s="6" t="n">
        <v>89.94</v>
      </c>
      <c r="J347" s="6" t="n">
        <v>77.94</v>
      </c>
    </row>
    <row collapsed="false" customFormat="false" customHeight="false" hidden="false" ht="12.1" outlineLevel="0" r="348">
      <c r="A348" s="35" t="n">
        <v>45798</v>
      </c>
      <c r="B348" s="2" t="s">
        <v>1163</v>
      </c>
      <c r="C348" s="2" t="s">
        <v>311</v>
      </c>
      <c r="D348" s="2" t="s">
        <v>312</v>
      </c>
      <c r="E348" s="6" t="n">
        <v>375</v>
      </c>
      <c r="F348" s="7" t="n">
        <v>1</v>
      </c>
      <c r="G348" s="6" t="n">
        <v>6.5</v>
      </c>
      <c r="H348" s="6" t="n">
        <v>1</v>
      </c>
      <c r="I348" s="6" t="n">
        <v>6.5</v>
      </c>
      <c r="J348" s="6" t="n">
        <v>5.5</v>
      </c>
    </row>
    <row collapsed="false" customFormat="false" customHeight="false" hidden="false" ht="12.1" outlineLevel="0" r="349">
      <c r="A349" s="35" t="n">
        <v>45798</v>
      </c>
      <c r="B349" s="2" t="s">
        <v>1163</v>
      </c>
      <c r="C349" s="2" t="s">
        <v>222</v>
      </c>
      <c r="D349" s="2" t="s">
        <v>223</v>
      </c>
      <c r="E349" s="6" t="n">
        <v>0</v>
      </c>
      <c r="F349" s="7" t="n">
        <v>1</v>
      </c>
      <c r="G349" s="6" t="n">
        <v>20.96</v>
      </c>
      <c r="H349" s="6" t="n">
        <v>3</v>
      </c>
      <c r="I349" s="6" t="n">
        <v>20.96</v>
      </c>
      <c r="J349" s="6" t="n">
        <v>17.96</v>
      </c>
    </row>
    <row collapsed="false" customFormat="false" customHeight="false" hidden="false" ht="12.1" outlineLevel="0" r="350">
      <c r="A350" s="35" t="n">
        <v>45799</v>
      </c>
      <c r="B350" s="2" t="s">
        <v>1163</v>
      </c>
      <c r="C350" s="2" t="s">
        <v>285</v>
      </c>
      <c r="D350" s="2" t="s">
        <v>286</v>
      </c>
      <c r="E350" s="6" t="n">
        <v>1000</v>
      </c>
      <c r="F350" s="7" t="n">
        <v>1</v>
      </c>
      <c r="G350" s="6" t="n">
        <v>11.18</v>
      </c>
      <c r="H350" s="6" t="n">
        <v>1</v>
      </c>
      <c r="I350" s="6" t="n">
        <v>11.18</v>
      </c>
      <c r="J350" s="6" t="n">
        <v>10.18</v>
      </c>
    </row>
    <row collapsed="false" customFormat="false" customHeight="false" hidden="false" ht="12.1" outlineLevel="0" r="351">
      <c r="A351" s="35" t="n">
        <v>45801</v>
      </c>
      <c r="B351" s="2" t="s">
        <v>1163</v>
      </c>
      <c r="C351" s="2" t="s">
        <v>180</v>
      </c>
      <c r="D351" s="2" t="s">
        <v>181</v>
      </c>
      <c r="E351" s="6" t="n">
        <v>1000</v>
      </c>
      <c r="F351" s="7" t="n">
        <v>2</v>
      </c>
      <c r="G351" s="6" t="n">
        <v>18.16</v>
      </c>
      <c r="H351" s="6" t="n">
        <v>5</v>
      </c>
      <c r="I351" s="6" t="n">
        <v>36.32</v>
      </c>
      <c r="J351" s="6" t="n">
        <v>31.32</v>
      </c>
    </row>
    <row collapsed="false" customFormat="false" customHeight="false" hidden="false" ht="12.1" outlineLevel="0" r="352">
      <c r="A352" s="35" t="n">
        <v>45804</v>
      </c>
      <c r="B352" s="2" t="s">
        <v>1163</v>
      </c>
      <c r="C352" s="2" t="s">
        <v>147</v>
      </c>
      <c r="D352" s="2" t="s">
        <v>148</v>
      </c>
      <c r="E352" s="6" t="n">
        <v>1000</v>
      </c>
      <c r="F352" s="7" t="n">
        <v>6</v>
      </c>
      <c r="G352" s="6" t="n">
        <v>61.08</v>
      </c>
      <c r="H352" s="6" t="n">
        <v>48</v>
      </c>
      <c r="I352" s="6" t="n">
        <v>366.48</v>
      </c>
      <c r="J352" s="6" t="n">
        <v>318.48</v>
      </c>
    </row>
    <row collapsed="false" customFormat="false" customHeight="false" hidden="false" ht="12.1" outlineLevel="0" r="353">
      <c r="A353" s="35" t="n">
        <v>45804</v>
      </c>
      <c r="B353" s="2" t="s">
        <v>1163</v>
      </c>
      <c r="C353" s="2" t="s">
        <v>123</v>
      </c>
      <c r="D353" s="2" t="s">
        <v>124</v>
      </c>
      <c r="E353" s="6" t="n">
        <v>1000</v>
      </c>
      <c r="F353" s="7" t="n">
        <v>10</v>
      </c>
      <c r="G353" s="6" t="n">
        <v>47.37</v>
      </c>
      <c r="H353" s="6" t="n">
        <v>62</v>
      </c>
      <c r="I353" s="6" t="n">
        <v>473.7</v>
      </c>
      <c r="J353" s="6" t="n">
        <v>411.7</v>
      </c>
    </row>
    <row collapsed="false" customFormat="false" customHeight="false" hidden="false" ht="12.1" outlineLevel="0" r="354">
      <c r="A354" s="35" t="n">
        <v>45805</v>
      </c>
      <c r="B354" s="2" t="s">
        <v>1163</v>
      </c>
      <c r="C354" s="2" t="s">
        <v>234</v>
      </c>
      <c r="D354" s="2" t="s">
        <v>235</v>
      </c>
      <c r="E354" s="6" t="n">
        <v>1000</v>
      </c>
      <c r="F354" s="7" t="n">
        <v>1</v>
      </c>
      <c r="G354" s="6" t="n">
        <v>19.2</v>
      </c>
      <c r="H354" s="6" t="n">
        <v>2</v>
      </c>
      <c r="I354" s="6" t="n">
        <v>19.2</v>
      </c>
      <c r="J354" s="6" t="n">
        <v>17.2</v>
      </c>
    </row>
    <row collapsed="false" customFormat="false" customHeight="false" hidden="false" ht="12.1" outlineLevel="0" r="355">
      <c r="A355" s="35" t="n">
        <v>45805</v>
      </c>
      <c r="B355" s="2" t="s">
        <v>1163</v>
      </c>
      <c r="C355" s="2" t="s">
        <v>231</v>
      </c>
      <c r="D355" s="2" t="s">
        <v>232</v>
      </c>
      <c r="E355" s="6" t="n">
        <v>0</v>
      </c>
      <c r="F355" s="7" t="n">
        <v>1</v>
      </c>
      <c r="G355" s="6" t="n">
        <v>19.48</v>
      </c>
      <c r="H355" s="6" t="n">
        <v>3</v>
      </c>
      <c r="I355" s="6" t="n">
        <v>19.48</v>
      </c>
      <c r="J355" s="6" t="n">
        <v>16.48</v>
      </c>
    </row>
    <row collapsed="false" customFormat="false" customHeight="false" hidden="false" ht="12.1" outlineLevel="0" r="356">
      <c r="A356" s="35" t="n">
        <v>45806</v>
      </c>
      <c r="B356" s="2" t="s">
        <v>1163</v>
      </c>
      <c r="C356" s="2" t="s">
        <v>276</v>
      </c>
      <c r="D356" s="2" t="s">
        <v>277</v>
      </c>
      <c r="E356" s="6" t="n">
        <v>1000</v>
      </c>
      <c r="F356" s="7" t="n">
        <v>1</v>
      </c>
      <c r="G356" s="6" t="n">
        <v>24.81</v>
      </c>
      <c r="H356" s="6" t="n">
        <v>3</v>
      </c>
      <c r="I356" s="6" t="n">
        <v>24.81</v>
      </c>
      <c r="J356" s="6" t="n">
        <v>21.81</v>
      </c>
    </row>
    <row collapsed="false" customFormat="false" customHeight="false" hidden="false" ht="12.1" outlineLevel="0" r="357">
      <c r="A357" s="35" t="n">
        <v>45808</v>
      </c>
      <c r="B357" s="2" t="s">
        <v>1163</v>
      </c>
      <c r="C357" s="2" t="s">
        <v>183</v>
      </c>
      <c r="D357" s="2" t="s">
        <v>184</v>
      </c>
      <c r="E357" s="6" t="n">
        <v>1000</v>
      </c>
      <c r="F357" s="7" t="n">
        <v>2</v>
      </c>
      <c r="G357" s="6" t="n">
        <v>19.3</v>
      </c>
      <c r="H357" s="6" t="n">
        <v>5</v>
      </c>
      <c r="I357" s="6" t="n">
        <v>38.6</v>
      </c>
      <c r="J357" s="6" t="n">
        <v>33.6</v>
      </c>
    </row>
    <row collapsed="false" customFormat="false" customHeight="false" hidden="false" ht="12.1" outlineLevel="0" r="358">
      <c r="A358" s="35"/>
      <c r="B358" s="2"/>
      <c r="C358" s="2"/>
      <c r="D358" s="2"/>
      <c r="E358" s="6"/>
      <c r="F358" s="7"/>
      <c r="G358" s="6"/>
      <c r="H358" s="6"/>
      <c r="I358" s="6"/>
      <c r="J358" s="6"/>
    </row>
    <row collapsed="false" customFormat="false" customHeight="false" hidden="false" ht="12.1" outlineLevel="0" r="359">
      <c r="A359" s="35" t="n">
        <v>45809</v>
      </c>
      <c r="B359" s="2" t="s">
        <v>1163</v>
      </c>
      <c r="C359" s="2" t="s">
        <v>192</v>
      </c>
      <c r="D359" s="2" t="s">
        <v>193</v>
      </c>
      <c r="E359" s="6" t="n">
        <v>1000</v>
      </c>
      <c r="F359" s="7" t="n">
        <v>2</v>
      </c>
      <c r="G359" s="6" t="n">
        <v>19.95</v>
      </c>
      <c r="H359" s="6" t="n">
        <v>5</v>
      </c>
      <c r="I359" s="6" t="n">
        <v>39.9</v>
      </c>
      <c r="J359" s="6" t="n">
        <v>34.9</v>
      </c>
    </row>
    <row collapsed="false" customFormat="false" customHeight="false" hidden="false" ht="12.1" outlineLevel="0" r="360">
      <c r="A360" s="35" t="n">
        <v>45809</v>
      </c>
      <c r="B360" s="2" t="s">
        <v>1163</v>
      </c>
      <c r="C360" s="2" t="s">
        <v>300</v>
      </c>
      <c r="D360" s="2" t="s">
        <v>301</v>
      </c>
      <c r="E360" s="6" t="n">
        <v>1000</v>
      </c>
      <c r="F360" s="7" t="n">
        <v>1</v>
      </c>
      <c r="G360" s="6" t="n">
        <v>25.68</v>
      </c>
      <c r="H360" s="6" t="n">
        <v>3</v>
      </c>
      <c r="I360" s="6" t="n">
        <v>25.68</v>
      </c>
      <c r="J360" s="6" t="n">
        <v>22.68</v>
      </c>
    </row>
    <row collapsed="false" customFormat="false" customHeight="false" hidden="false" ht="12.1" outlineLevel="0" r="361">
      <c r="A361" s="35" t="n">
        <v>45810</v>
      </c>
      <c r="B361" s="2" t="s">
        <v>1163</v>
      </c>
      <c r="C361" s="2" t="s">
        <v>264</v>
      </c>
      <c r="D361" s="2" t="s">
        <v>265</v>
      </c>
      <c r="E361" s="6" t="n">
        <v>1000</v>
      </c>
      <c r="F361" s="7" t="n">
        <v>1</v>
      </c>
      <c r="G361" s="6" t="n">
        <v>29.17</v>
      </c>
      <c r="H361" s="6" t="n">
        <v>4</v>
      </c>
      <c r="I361" s="6" t="n">
        <v>29.17</v>
      </c>
      <c r="J361" s="6" t="n">
        <v>25.17</v>
      </c>
    </row>
    <row collapsed="false" customFormat="false" customHeight="false" hidden="false" ht="12.1" outlineLevel="0" r="362">
      <c r="A362" s="35" t="n">
        <v>45810</v>
      </c>
      <c r="B362" s="2" t="s">
        <v>1163</v>
      </c>
      <c r="C362" s="2" t="s">
        <v>255</v>
      </c>
      <c r="D362" s="2" t="s">
        <v>256</v>
      </c>
      <c r="E362" s="6" t="n">
        <v>1000</v>
      </c>
      <c r="F362" s="7" t="n">
        <v>1</v>
      </c>
      <c r="G362" s="6" t="n">
        <v>56.1</v>
      </c>
      <c r="H362" s="6" t="n">
        <v>7</v>
      </c>
      <c r="I362" s="6" t="n">
        <v>56.1</v>
      </c>
      <c r="J362" s="6" t="n">
        <v>49.1</v>
      </c>
    </row>
    <row collapsed="false" customFormat="false" customHeight="false" hidden="false" ht="12.1" outlineLevel="0" r="363">
      <c r="A363" s="35" t="n">
        <v>45811</v>
      </c>
      <c r="B363" s="2" t="s">
        <v>1163</v>
      </c>
      <c r="C363" s="2" t="s">
        <v>261</v>
      </c>
      <c r="D363" s="2" t="s">
        <v>262</v>
      </c>
      <c r="E363" s="6" t="n">
        <v>1000</v>
      </c>
      <c r="F363" s="7" t="n">
        <v>1</v>
      </c>
      <c r="G363" s="6" t="n">
        <v>56.84</v>
      </c>
      <c r="H363" s="6" t="n">
        <v>7</v>
      </c>
      <c r="I363" s="6" t="n">
        <v>56.84</v>
      </c>
      <c r="J363" s="6" t="n">
        <v>49.84</v>
      </c>
    </row>
    <row collapsed="false" customFormat="false" customHeight="false" hidden="false" ht="12.1" outlineLevel="0" r="364">
      <c r="A364" s="35" t="n">
        <v>45811</v>
      </c>
      <c r="B364" s="2" t="s">
        <v>1163</v>
      </c>
      <c r="C364" s="2" t="s">
        <v>306</v>
      </c>
      <c r="D364" s="2" t="s">
        <v>307</v>
      </c>
      <c r="E364" s="6" t="n">
        <v>1000</v>
      </c>
      <c r="F364" s="7" t="n">
        <v>1</v>
      </c>
      <c r="G364" s="6" t="n">
        <v>19.87</v>
      </c>
      <c r="H364" s="6" t="n">
        <v>3</v>
      </c>
      <c r="I364" s="6" t="n">
        <v>19.87</v>
      </c>
      <c r="J364" s="6" t="n">
        <v>16.87</v>
      </c>
    </row>
    <row collapsed="false" customFormat="false" customHeight="false" hidden="false" ht="12.1" outlineLevel="0" r="365">
      <c r="A365" s="35" t="n">
        <v>45811</v>
      </c>
      <c r="B365" s="2" t="s">
        <v>1163</v>
      </c>
      <c r="C365" s="2" t="s">
        <v>120</v>
      </c>
      <c r="D365" s="2" t="s">
        <v>121</v>
      </c>
      <c r="E365" s="6" t="n">
        <v>1000</v>
      </c>
      <c r="F365" s="7" t="n">
        <v>12</v>
      </c>
      <c r="G365" s="6" t="n">
        <v>48.87</v>
      </c>
      <c r="H365" s="6" t="n">
        <v>76</v>
      </c>
      <c r="I365" s="6" t="n">
        <v>586.44</v>
      </c>
      <c r="J365" s="6" t="n">
        <v>510.44</v>
      </c>
    </row>
    <row collapsed="false" customFormat="false" customHeight="false" hidden="false" ht="12.1" outlineLevel="0" r="366">
      <c r="A366" s="35" t="n">
        <v>45811</v>
      </c>
      <c r="B366" s="2" t="s">
        <v>1163</v>
      </c>
      <c r="C366" s="2" t="s">
        <v>129</v>
      </c>
      <c r="D366" s="2" t="s">
        <v>130</v>
      </c>
      <c r="E366" s="6" t="n">
        <v>1000</v>
      </c>
      <c r="F366" s="7" t="n">
        <v>8</v>
      </c>
      <c r="G366" s="6" t="n">
        <v>61.08</v>
      </c>
      <c r="H366" s="6" t="n">
        <v>64</v>
      </c>
      <c r="I366" s="6" t="n">
        <v>488.64</v>
      </c>
      <c r="J366" s="6" t="n">
        <v>424.64</v>
      </c>
    </row>
    <row collapsed="false" customFormat="false" customHeight="false" hidden="false" ht="12.1" outlineLevel="0" r="367">
      <c r="A367" s="35" t="n">
        <v>45811</v>
      </c>
      <c r="B367" s="2" t="s">
        <v>1163</v>
      </c>
      <c r="C367" s="2" t="s">
        <v>102</v>
      </c>
      <c r="D367" s="2" t="s">
        <v>103</v>
      </c>
      <c r="E367" s="6" t="n">
        <v>1000</v>
      </c>
      <c r="F367" s="7" t="n">
        <v>23</v>
      </c>
      <c r="G367" s="6" t="n">
        <v>35.4</v>
      </c>
      <c r="H367" s="6" t="n">
        <v>106</v>
      </c>
      <c r="I367" s="6" t="n">
        <v>814.2</v>
      </c>
      <c r="J367" s="6" t="n">
        <v>708.2</v>
      </c>
    </row>
    <row collapsed="false" customFormat="false" customHeight="false" hidden="false" ht="12.1" outlineLevel="0" r="368">
      <c r="A368" s="35" t="n">
        <v>45811</v>
      </c>
      <c r="B368" s="2" t="s">
        <v>1163</v>
      </c>
      <c r="C368" s="2" t="s">
        <v>186</v>
      </c>
      <c r="D368" s="2" t="s">
        <v>187</v>
      </c>
      <c r="E368" s="6" t="n">
        <v>1000</v>
      </c>
      <c r="F368" s="7" t="n">
        <v>2</v>
      </c>
      <c r="G368" s="6" t="n">
        <v>32.66</v>
      </c>
      <c r="H368" s="6" t="n">
        <v>8</v>
      </c>
      <c r="I368" s="6" t="n">
        <v>65.32</v>
      </c>
      <c r="J368" s="6" t="n">
        <v>57.32</v>
      </c>
    </row>
    <row collapsed="false" customFormat="false" customHeight="false" hidden="false" ht="12.1" outlineLevel="0" r="369">
      <c r="A369" s="35" t="n">
        <v>45811</v>
      </c>
      <c r="B369" s="2" t="s">
        <v>1163</v>
      </c>
      <c r="C369" s="2" t="s">
        <v>303</v>
      </c>
      <c r="D369" s="2" t="s">
        <v>304</v>
      </c>
      <c r="E369" s="6" t="n">
        <v>1000</v>
      </c>
      <c r="F369" s="7" t="n">
        <v>1</v>
      </c>
      <c r="G369" s="6" t="n">
        <v>19.55</v>
      </c>
      <c r="H369" s="6" t="n">
        <v>3</v>
      </c>
      <c r="I369" s="6" t="n">
        <v>19.55</v>
      </c>
      <c r="J369" s="6" t="n">
        <v>16.55</v>
      </c>
    </row>
    <row collapsed="false" customFormat="false" customHeight="false" hidden="false" ht="12.1" outlineLevel="0" r="370">
      <c r="A370" s="35" t="n">
        <v>45812</v>
      </c>
      <c r="B370" s="2" t="s">
        <v>1163</v>
      </c>
      <c r="C370" s="2" t="s">
        <v>240</v>
      </c>
      <c r="D370" s="2" t="s">
        <v>241</v>
      </c>
      <c r="E370" s="6" t="n">
        <v>1000</v>
      </c>
      <c r="F370" s="7" t="n">
        <v>1</v>
      </c>
      <c r="G370" s="6" t="n">
        <v>35.53</v>
      </c>
      <c r="H370" s="6" t="n">
        <v>5</v>
      </c>
      <c r="I370" s="6" t="n">
        <v>35.53</v>
      </c>
      <c r="J370" s="6" t="n">
        <v>30.53</v>
      </c>
    </row>
    <row collapsed="false" customFormat="false" customHeight="false" hidden="false" ht="12.1" outlineLevel="0" r="371">
      <c r="A371" s="35" t="n">
        <v>45812</v>
      </c>
      <c r="B371" s="2" t="s">
        <v>1163</v>
      </c>
      <c r="C371" s="2" t="s">
        <v>317</v>
      </c>
      <c r="D371" s="2" t="s">
        <v>318</v>
      </c>
      <c r="E371" s="6" t="n">
        <v>263</v>
      </c>
      <c r="F371" s="7" t="n">
        <v>1</v>
      </c>
      <c r="G371" s="6" t="n">
        <v>6.49</v>
      </c>
      <c r="H371" s="6" t="n">
        <v>1</v>
      </c>
      <c r="I371" s="6" t="n">
        <v>6.49</v>
      </c>
      <c r="J371" s="6" t="n">
        <v>5.49</v>
      </c>
    </row>
    <row collapsed="false" customFormat="false" customHeight="false" hidden="false" ht="12.1" outlineLevel="0" r="372">
      <c r="A372" s="35" t="n">
        <v>45814</v>
      </c>
      <c r="B372" s="2" t="s">
        <v>1163</v>
      </c>
      <c r="C372" s="2" t="s">
        <v>216</v>
      </c>
      <c r="D372" s="2" t="s">
        <v>217</v>
      </c>
      <c r="E372" s="6" t="n">
        <v>0</v>
      </c>
      <c r="F372" s="7" t="n">
        <v>1</v>
      </c>
      <c r="G372" s="6" t="n">
        <v>19.11</v>
      </c>
      <c r="H372" s="6" t="n">
        <v>2</v>
      </c>
      <c r="I372" s="6" t="n">
        <v>19.11</v>
      </c>
      <c r="J372" s="6" t="n">
        <v>17.11</v>
      </c>
    </row>
    <row collapsed="false" customFormat="false" customHeight="false" hidden="false" ht="12.1" outlineLevel="0" r="373">
      <c r="A373" s="35" t="n">
        <v>45814</v>
      </c>
      <c r="B373" s="2" t="s">
        <v>1163</v>
      </c>
      <c r="C373" s="2" t="s">
        <v>228</v>
      </c>
      <c r="D373" s="2" t="s">
        <v>229</v>
      </c>
      <c r="E373" s="6" t="n">
        <v>1000</v>
      </c>
      <c r="F373" s="7" t="n">
        <v>1</v>
      </c>
      <c r="G373" s="6" t="n">
        <v>19.04</v>
      </c>
      <c r="H373" s="6" t="n">
        <v>2</v>
      </c>
      <c r="I373" s="6" t="n">
        <v>19.04</v>
      </c>
      <c r="J373" s="6" t="n">
        <v>17.04</v>
      </c>
    </row>
    <row collapsed="false" customFormat="false" customHeight="false" hidden="false" ht="12.1" outlineLevel="0" r="374">
      <c r="A374" s="35" t="n">
        <v>45817</v>
      </c>
      <c r="B374" s="2" t="s">
        <v>1163</v>
      </c>
      <c r="C374" s="2" t="s">
        <v>288</v>
      </c>
      <c r="D374" s="2" t="s">
        <v>289</v>
      </c>
      <c r="E374" s="6" t="n">
        <v>860</v>
      </c>
      <c r="F374" s="7" t="n">
        <v>1</v>
      </c>
      <c r="G374" s="6" t="n">
        <v>28.95</v>
      </c>
      <c r="H374" s="6" t="n">
        <v>4</v>
      </c>
      <c r="I374" s="6" t="n">
        <v>28.95</v>
      </c>
      <c r="J374" s="6" t="n">
        <v>24.95</v>
      </c>
    </row>
    <row collapsed="false" customFormat="false" customHeight="false" hidden="false" ht="12.1" outlineLevel="0" r="375">
      <c r="A375" s="35" t="n">
        <v>45820</v>
      </c>
      <c r="B375" s="2" t="s">
        <v>1163</v>
      </c>
      <c r="C375" s="2" t="s">
        <v>210</v>
      </c>
      <c r="D375" s="2" t="s">
        <v>211</v>
      </c>
      <c r="E375" s="6" t="n">
        <v>1000</v>
      </c>
      <c r="F375" s="7" t="n">
        <v>2</v>
      </c>
      <c r="G375" s="6" t="n">
        <v>17.83</v>
      </c>
      <c r="H375" s="6" t="n">
        <v>5</v>
      </c>
      <c r="I375" s="6" t="n">
        <v>35.66</v>
      </c>
      <c r="J375" s="6" t="n">
        <v>30.66</v>
      </c>
    </row>
    <row collapsed="false" customFormat="false" customHeight="false" hidden="false" ht="12.1" outlineLevel="0" r="376">
      <c r="A376" s="35" t="n">
        <v>45823</v>
      </c>
      <c r="B376" s="2" t="s">
        <v>1163</v>
      </c>
      <c r="C376" s="2" t="s">
        <v>243</v>
      </c>
      <c r="D376" s="2" t="s">
        <v>244</v>
      </c>
      <c r="E376" s="6" t="n">
        <v>1000</v>
      </c>
      <c r="F376" s="7" t="n">
        <v>1</v>
      </c>
      <c r="G376" s="6" t="n">
        <v>19.21</v>
      </c>
      <c r="H376" s="6" t="n">
        <v>2</v>
      </c>
      <c r="I376" s="6" t="n">
        <v>19.21</v>
      </c>
      <c r="J376" s="6" t="n">
        <v>17.21</v>
      </c>
    </row>
    <row collapsed="false" customFormat="false" customHeight="false" hidden="false" ht="12.1" outlineLevel="0" r="377">
      <c r="A377" s="35" t="n">
        <v>45825</v>
      </c>
      <c r="B377" s="2" t="s">
        <v>1163</v>
      </c>
      <c r="C377" s="2" t="s">
        <v>99</v>
      </c>
      <c r="D377" s="2" t="s">
        <v>100</v>
      </c>
      <c r="E377" s="6" t="n">
        <v>1000</v>
      </c>
      <c r="F377" s="7" t="n">
        <v>14</v>
      </c>
      <c r="G377" s="6" t="n">
        <v>99.33</v>
      </c>
      <c r="H377" s="6" t="n">
        <v>181</v>
      </c>
      <c r="I377" s="6" t="n">
        <v>1390.62</v>
      </c>
      <c r="J377" s="6" t="n">
        <v>1209.62</v>
      </c>
    </row>
    <row collapsed="false" customFormat="false" customHeight="false" hidden="false" ht="12.1" outlineLevel="0" r="378">
      <c r="A378" s="35" t="n">
        <v>45828</v>
      </c>
      <c r="B378" s="2" t="s">
        <v>1163</v>
      </c>
      <c r="C378" s="2" t="s">
        <v>222</v>
      </c>
      <c r="D378" s="2" t="s">
        <v>223</v>
      </c>
      <c r="E378" s="6" t="n">
        <v>0</v>
      </c>
      <c r="F378" s="7" t="n">
        <v>1</v>
      </c>
      <c r="G378" s="6" t="n">
        <v>20.96</v>
      </c>
      <c r="H378" s="6" t="n">
        <v>3</v>
      </c>
      <c r="I378" s="6" t="n">
        <v>20.96</v>
      </c>
      <c r="J378" s="6" t="n">
        <v>17.96</v>
      </c>
    </row>
    <row collapsed="false" customFormat="false" customHeight="false" hidden="false" ht="12.1" outlineLevel="0" r="379">
      <c r="A379" s="35" t="n">
        <v>45829</v>
      </c>
      <c r="B379" s="2" t="s">
        <v>1163</v>
      </c>
      <c r="C379" s="2" t="s">
        <v>285</v>
      </c>
      <c r="D379" s="2" t="s">
        <v>286</v>
      </c>
      <c r="E379" s="6" t="n">
        <v>1000</v>
      </c>
      <c r="F379" s="7" t="n">
        <v>1</v>
      </c>
      <c r="G379" s="6" t="n">
        <v>11.18</v>
      </c>
      <c r="H379" s="6" t="n">
        <v>1</v>
      </c>
      <c r="I379" s="6" t="n">
        <v>11.18</v>
      </c>
      <c r="J379" s="6" t="n">
        <v>10.18</v>
      </c>
    </row>
    <row collapsed="false" customFormat="false" customHeight="false" hidden="false" ht="12.1" outlineLevel="0" r="380">
      <c r="A380" s="35" t="n">
        <v>45831</v>
      </c>
      <c r="B380" s="2" t="s">
        <v>1163</v>
      </c>
      <c r="C380" s="2" t="s">
        <v>180</v>
      </c>
      <c r="D380" s="2" t="s">
        <v>181</v>
      </c>
      <c r="E380" s="6" t="n">
        <v>1000</v>
      </c>
      <c r="F380" s="7" t="n">
        <v>2</v>
      </c>
      <c r="G380" s="6" t="n">
        <v>18.16</v>
      </c>
      <c r="H380" s="6" t="n">
        <v>5</v>
      </c>
      <c r="I380" s="6" t="n">
        <v>36.32</v>
      </c>
      <c r="J380" s="6" t="n">
        <v>31.32</v>
      </c>
    </row>
    <row collapsed="false" customFormat="false" customHeight="false" hidden="false" ht="12.1" outlineLevel="0" r="381">
      <c r="A381" s="35" t="n">
        <v>45834</v>
      </c>
      <c r="B381" s="2" t="s">
        <v>1163</v>
      </c>
      <c r="C381" s="2" t="s">
        <v>213</v>
      </c>
      <c r="D381" s="2" t="s">
        <v>214</v>
      </c>
      <c r="E381" s="6" t="n">
        <v>700</v>
      </c>
      <c r="F381" s="7" t="n">
        <v>2</v>
      </c>
      <c r="G381" s="6" t="n">
        <v>23.04</v>
      </c>
      <c r="H381" s="6" t="n">
        <v>6</v>
      </c>
      <c r="I381" s="6" t="n">
        <v>46.08</v>
      </c>
      <c r="J381" s="6" t="n">
        <v>40.08</v>
      </c>
    </row>
    <row collapsed="false" customFormat="false" customHeight="false" hidden="false" ht="12.1" outlineLevel="0" r="382">
      <c r="A382" s="35" t="n">
        <v>45835</v>
      </c>
      <c r="B382" s="2" t="s">
        <v>1163</v>
      </c>
      <c r="C382" s="2" t="s">
        <v>231</v>
      </c>
      <c r="D382" s="2" t="s">
        <v>232</v>
      </c>
      <c r="E382" s="6" t="n">
        <v>0</v>
      </c>
      <c r="F382" s="7" t="n">
        <v>1</v>
      </c>
      <c r="G382" s="6" t="n">
        <v>19.48</v>
      </c>
      <c r="H382" s="6" t="n">
        <v>3</v>
      </c>
      <c r="I382" s="6" t="n">
        <v>19.48</v>
      </c>
      <c r="J382" s="6" t="n">
        <v>16.48</v>
      </c>
    </row>
    <row collapsed="false" customFormat="false" customHeight="false" hidden="false" ht="12.1" outlineLevel="0" r="383">
      <c r="A383" s="35" t="n">
        <v>45836</v>
      </c>
      <c r="B383" s="2" t="s">
        <v>1163</v>
      </c>
      <c r="C383" s="2" t="s">
        <v>234</v>
      </c>
      <c r="D383" s="2" t="s">
        <v>235</v>
      </c>
      <c r="E383" s="6" t="n">
        <v>1000</v>
      </c>
      <c r="F383" s="7" t="n">
        <v>1</v>
      </c>
      <c r="G383" s="6" t="n">
        <v>19.2</v>
      </c>
      <c r="H383" s="6" t="n">
        <v>2</v>
      </c>
      <c r="I383" s="6" t="n">
        <v>19.2</v>
      </c>
      <c r="J383" s="6" t="n">
        <v>17.2</v>
      </c>
    </row>
    <row collapsed="false" customFormat="false" customHeight="false" hidden="false" ht="12.1" outlineLevel="0" r="384">
      <c r="A384" s="35" t="n">
        <v>45839</v>
      </c>
      <c r="B384" s="2" t="s">
        <v>1163</v>
      </c>
      <c r="C384" s="2" t="s">
        <v>183</v>
      </c>
      <c r="D384" s="2" t="s">
        <v>184</v>
      </c>
      <c r="E384" s="6" t="n">
        <v>1000</v>
      </c>
      <c r="F384" s="7" t="n">
        <v>2</v>
      </c>
      <c r="G384" s="6" t="n">
        <v>19.3</v>
      </c>
      <c r="H384" s="6" t="n">
        <v>5</v>
      </c>
      <c r="I384" s="6" t="n">
        <v>38.6</v>
      </c>
      <c r="J384" s="6" t="n">
        <v>33.6</v>
      </c>
    </row>
    <row collapsed="false" customFormat="false" customHeight="false" hidden="false" ht="12.1" outlineLevel="0" r="385">
      <c r="A385" s="35" t="n">
        <v>45840</v>
      </c>
      <c r="B385" s="2" t="s">
        <v>1163</v>
      </c>
      <c r="C385" s="2" t="s">
        <v>320</v>
      </c>
      <c r="D385" s="2" t="s">
        <v>321</v>
      </c>
      <c r="E385" s="6" t="n">
        <v>200</v>
      </c>
      <c r="F385" s="7" t="n">
        <v>1</v>
      </c>
      <c r="G385" s="6" t="n">
        <v>6.98</v>
      </c>
      <c r="H385" s="6" t="n">
        <v>1</v>
      </c>
      <c r="I385" s="6" t="n">
        <v>6.98</v>
      </c>
      <c r="J385" s="6" t="n">
        <v>5.98</v>
      </c>
    </row>
    <row collapsed="false" customFormat="false" customHeight="false" hidden="false" ht="12.1" outlineLevel="0" r="386">
      <c r="A386" s="35" t="n">
        <v>45844</v>
      </c>
      <c r="B386" s="2" t="s">
        <v>1163</v>
      </c>
      <c r="C386" s="2" t="s">
        <v>216</v>
      </c>
      <c r="D386" s="2" t="s">
        <v>217</v>
      </c>
      <c r="E386" s="6" t="n">
        <v>0</v>
      </c>
      <c r="F386" s="7" t="n">
        <v>1</v>
      </c>
      <c r="G386" s="6" t="n">
        <v>19.11</v>
      </c>
      <c r="H386" s="6" t="n">
        <v>2</v>
      </c>
      <c r="I386" s="6" t="n">
        <v>19.11</v>
      </c>
      <c r="J386" s="6" t="n">
        <v>17.11</v>
      </c>
    </row>
    <row collapsed="false" customFormat="false" customHeight="false" hidden="false" ht="12.1" outlineLevel="0" r="387">
      <c r="A387" s="35" t="n">
        <v>45844</v>
      </c>
      <c r="B387" s="2" t="s">
        <v>1163</v>
      </c>
      <c r="C387" s="2" t="s">
        <v>273</v>
      </c>
      <c r="D387" s="2" t="s">
        <v>274</v>
      </c>
      <c r="E387" s="6" t="n">
        <v>1000</v>
      </c>
      <c r="F387" s="7" t="n">
        <v>1</v>
      </c>
      <c r="G387" s="6" t="n">
        <v>44.88</v>
      </c>
      <c r="H387" s="6" t="n">
        <v>6</v>
      </c>
      <c r="I387" s="6" t="n">
        <v>44.88</v>
      </c>
      <c r="J387" s="6" t="n">
        <v>38.88</v>
      </c>
    </row>
    <row collapsed="false" customFormat="false" customHeight="false" hidden="false" ht="12.1" outlineLevel="0" r="388">
      <c r="A388" s="35" t="n">
        <v>45845</v>
      </c>
      <c r="B388" s="2" t="s">
        <v>1163</v>
      </c>
      <c r="C388" s="2" t="s">
        <v>228</v>
      </c>
      <c r="D388" s="2" t="s">
        <v>229</v>
      </c>
      <c r="E388" s="6" t="n">
        <v>1000</v>
      </c>
      <c r="F388" s="7" t="n">
        <v>1</v>
      </c>
      <c r="G388" s="6" t="n">
        <v>19.04</v>
      </c>
      <c r="H388" s="6" t="n">
        <v>2</v>
      </c>
      <c r="I388" s="6" t="n">
        <v>19.04</v>
      </c>
      <c r="J388" s="6" t="n">
        <v>17.04</v>
      </c>
    </row>
    <row collapsed="false" customFormat="false" customHeight="false" hidden="false" ht="12.1" outlineLevel="0" r="389">
      <c r="A389" s="35" t="n">
        <v>45852</v>
      </c>
      <c r="B389" s="2" t="s">
        <v>1163</v>
      </c>
      <c r="C389" s="2" t="s">
        <v>207</v>
      </c>
      <c r="D389" s="2" t="s">
        <v>208</v>
      </c>
      <c r="E389" s="6" t="n">
        <v>1000</v>
      </c>
      <c r="F389" s="7" t="n">
        <v>2</v>
      </c>
      <c r="G389" s="6" t="n">
        <v>24.93</v>
      </c>
      <c r="H389" s="6" t="n">
        <v>6</v>
      </c>
      <c r="I389" s="6" t="n">
        <v>49.86</v>
      </c>
      <c r="J389" s="6" t="n">
        <v>43.86</v>
      </c>
    </row>
    <row collapsed="false" customFormat="false" customHeight="false" hidden="false" ht="12.1" outlineLevel="0" r="390">
      <c r="A390" s="35" t="n">
        <v>45853</v>
      </c>
      <c r="B390" s="2" t="s">
        <v>1163</v>
      </c>
      <c r="C390" s="2" t="s">
        <v>294</v>
      </c>
      <c r="D390" s="2" t="s">
        <v>295</v>
      </c>
      <c r="E390" s="6" t="n">
        <v>1000</v>
      </c>
      <c r="F390" s="7" t="n">
        <v>1</v>
      </c>
      <c r="G390" s="6" t="n">
        <v>26.18</v>
      </c>
      <c r="H390" s="6" t="n">
        <v>3</v>
      </c>
      <c r="I390" s="6" t="n">
        <v>26.18</v>
      </c>
      <c r="J390" s="6" t="n">
        <v>23.18</v>
      </c>
    </row>
    <row collapsed="false" customFormat="false" customHeight="false" hidden="false" ht="12.1" outlineLevel="0" r="391">
      <c r="A391" s="35" t="n">
        <v>45853</v>
      </c>
      <c r="B391" s="2" t="s">
        <v>1163</v>
      </c>
      <c r="C391" s="2" t="s">
        <v>177</v>
      </c>
      <c r="D391" s="2" t="s">
        <v>178</v>
      </c>
      <c r="E391" s="6" t="n">
        <v>1000</v>
      </c>
      <c r="F391" s="7" t="n">
        <v>2</v>
      </c>
      <c r="G391" s="6" t="n">
        <v>22.44</v>
      </c>
      <c r="H391" s="6" t="n">
        <v>6</v>
      </c>
      <c r="I391" s="6" t="n">
        <v>44.88</v>
      </c>
      <c r="J391" s="6" t="n">
        <v>38.88</v>
      </c>
    </row>
    <row collapsed="false" customFormat="false" customHeight="false" hidden="false" ht="12.1" outlineLevel="0" r="392">
      <c r="A392" s="35" t="n">
        <v>45854</v>
      </c>
      <c r="B392" s="2" t="s">
        <v>1163</v>
      </c>
      <c r="C392" s="2" t="s">
        <v>243</v>
      </c>
      <c r="D392" s="2" t="s">
        <v>244</v>
      </c>
      <c r="E392" s="6" t="n">
        <v>1000</v>
      </c>
      <c r="F392" s="7" t="n">
        <v>1</v>
      </c>
      <c r="G392" s="6" t="n">
        <v>19.21</v>
      </c>
      <c r="H392" s="6" t="n">
        <v>2</v>
      </c>
      <c r="I392" s="6" t="n">
        <v>19.21</v>
      </c>
      <c r="J392" s="6" t="n">
        <v>17.21</v>
      </c>
    </row>
    <row collapsed="false" customFormat="false" customHeight="false" hidden="false" ht="12.1" outlineLevel="0" r="393">
      <c r="A393" s="35" t="n">
        <v>45854</v>
      </c>
      <c r="B393" s="2" t="s">
        <v>1163</v>
      </c>
      <c r="C393" s="2" t="s">
        <v>258</v>
      </c>
      <c r="D393" s="2" t="s">
        <v>259</v>
      </c>
      <c r="E393" s="6" t="n">
        <v>1000</v>
      </c>
      <c r="F393" s="7" t="n">
        <v>1</v>
      </c>
      <c r="G393" s="6" t="n">
        <v>50.86</v>
      </c>
      <c r="H393" s="6" t="n">
        <v>7</v>
      </c>
      <c r="I393" s="6" t="n">
        <v>50.86</v>
      </c>
      <c r="J393" s="6" t="n">
        <v>43.86</v>
      </c>
    </row>
    <row collapsed="false" customFormat="false" customHeight="false" hidden="false" ht="12.1" outlineLevel="0" r="394">
      <c r="A394" s="35" t="n">
        <v>45858</v>
      </c>
      <c r="B394" s="2" t="s">
        <v>1163</v>
      </c>
      <c r="C394" s="2" t="s">
        <v>201</v>
      </c>
      <c r="D394" s="2" t="s">
        <v>202</v>
      </c>
      <c r="E394" s="6" t="n">
        <v>1000</v>
      </c>
      <c r="F394" s="7" t="n">
        <v>2</v>
      </c>
      <c r="G394" s="6" t="n">
        <v>54.35</v>
      </c>
      <c r="H394" s="6" t="n">
        <v>14</v>
      </c>
      <c r="I394" s="6" t="n">
        <v>108.7</v>
      </c>
      <c r="J394" s="6" t="n">
        <v>94.7</v>
      </c>
    </row>
    <row collapsed="false" customFormat="false" customHeight="false" hidden="false" ht="12.1" outlineLevel="0" r="395">
      <c r="A395" s="35" t="n">
        <v>45858</v>
      </c>
      <c r="B395" s="2" t="s">
        <v>1163</v>
      </c>
      <c r="C395" s="2" t="s">
        <v>222</v>
      </c>
      <c r="D395" s="2" t="s">
        <v>223</v>
      </c>
      <c r="E395" s="6" t="n">
        <v>0</v>
      </c>
      <c r="F395" s="7" t="n">
        <v>1</v>
      </c>
      <c r="G395" s="6" t="n">
        <v>20.96</v>
      </c>
      <c r="H395" s="6" t="n">
        <v>3</v>
      </c>
      <c r="I395" s="6" t="n">
        <v>20.96</v>
      </c>
      <c r="J395" s="6" t="n">
        <v>17.96</v>
      </c>
    </row>
    <row collapsed="false" customFormat="false" customHeight="false" hidden="false" ht="12.1" outlineLevel="0" r="396">
      <c r="A396" s="35" t="n">
        <v>45859</v>
      </c>
      <c r="B396" s="2" t="s">
        <v>1163</v>
      </c>
      <c r="C396" s="2" t="s">
        <v>285</v>
      </c>
      <c r="D396" s="2" t="s">
        <v>286</v>
      </c>
      <c r="E396" s="6" t="n">
        <v>1000</v>
      </c>
      <c r="F396" s="7" t="n">
        <v>1</v>
      </c>
      <c r="G396" s="6" t="n">
        <v>11.18</v>
      </c>
      <c r="H396" s="6" t="n">
        <v>1</v>
      </c>
      <c r="I396" s="6" t="n">
        <v>11.18</v>
      </c>
      <c r="J396" s="6" t="n">
        <v>10.18</v>
      </c>
    </row>
    <row collapsed="false" customFormat="false" customHeight="false" hidden="false" ht="12.1" outlineLevel="0" r="397">
      <c r="A397" s="35" t="n">
        <v>45859</v>
      </c>
      <c r="B397" s="2" t="s">
        <v>1163</v>
      </c>
      <c r="C397" s="2" t="s">
        <v>308</v>
      </c>
      <c r="D397" s="2" t="s">
        <v>309</v>
      </c>
      <c r="E397" s="6" t="n">
        <v>670</v>
      </c>
      <c r="F397" s="7" t="n">
        <v>1</v>
      </c>
      <c r="G397" s="6" t="n">
        <v>22.97</v>
      </c>
      <c r="H397" s="6" t="n">
        <v>3</v>
      </c>
      <c r="I397" s="6" t="n">
        <v>22.97</v>
      </c>
      <c r="J397" s="6" t="n">
        <v>19.97</v>
      </c>
    </row>
    <row collapsed="false" customFormat="false" customHeight="false" hidden="false" ht="12.1" outlineLevel="0" r="398">
      <c r="A398" s="35" t="n">
        <v>45860</v>
      </c>
      <c r="B398" s="2" t="s">
        <v>1163</v>
      </c>
      <c r="C398" s="2" t="s">
        <v>237</v>
      </c>
      <c r="D398" s="2" t="s">
        <v>238</v>
      </c>
      <c r="E398" s="6" t="n">
        <v>1000</v>
      </c>
      <c r="F398" s="7" t="n">
        <v>1</v>
      </c>
      <c r="G398" s="6" t="n">
        <v>56.52</v>
      </c>
      <c r="H398" s="6" t="n">
        <v>7</v>
      </c>
      <c r="I398" s="6" t="n">
        <v>56.52</v>
      </c>
      <c r="J398" s="6" t="n">
        <v>49.52</v>
      </c>
    </row>
    <row collapsed="false" customFormat="false" customHeight="false" hidden="false" ht="12.1" outlineLevel="0" r="399">
      <c r="A399" s="35" t="n">
        <v>45860</v>
      </c>
      <c r="B399" s="2" t="s">
        <v>1163</v>
      </c>
      <c r="C399" s="2" t="s">
        <v>270</v>
      </c>
      <c r="D399" s="2" t="s">
        <v>271</v>
      </c>
      <c r="E399" s="6" t="n">
        <v>1000</v>
      </c>
      <c r="F399" s="7" t="n">
        <v>1</v>
      </c>
      <c r="G399" s="6" t="n">
        <v>43.38</v>
      </c>
      <c r="H399" s="6" t="n">
        <v>6</v>
      </c>
      <c r="I399" s="6" t="n">
        <v>43.38</v>
      </c>
      <c r="J399" s="6" t="n">
        <v>37.38</v>
      </c>
    </row>
    <row collapsed="false" customFormat="false" customHeight="false" hidden="false" ht="12.1" outlineLevel="0" r="400">
      <c r="A400" s="35" t="n">
        <v>45861</v>
      </c>
      <c r="B400" s="2" t="s">
        <v>1163</v>
      </c>
      <c r="C400" s="2" t="s">
        <v>180</v>
      </c>
      <c r="D400" s="2" t="s">
        <v>181</v>
      </c>
      <c r="E400" s="6" t="n">
        <v>1000</v>
      </c>
      <c r="F400" s="7" t="n">
        <v>2</v>
      </c>
      <c r="G400" s="6" t="n">
        <v>18.16</v>
      </c>
      <c r="H400" s="6" t="n">
        <v>5</v>
      </c>
      <c r="I400" s="6" t="n">
        <v>36.32</v>
      </c>
      <c r="J400" s="6" t="n">
        <v>31.32</v>
      </c>
    </row>
    <row collapsed="false" customFormat="false" customHeight="false" hidden="false" ht="12.1" outlineLevel="0" r="401">
      <c r="A401" s="35" t="n">
        <v>45865</v>
      </c>
      <c r="B401" s="2" t="s">
        <v>1163</v>
      </c>
      <c r="C401" s="2" t="s">
        <v>231</v>
      </c>
      <c r="D401" s="2" t="s">
        <v>232</v>
      </c>
      <c r="E401" s="6" t="n">
        <v>0</v>
      </c>
      <c r="F401" s="7" t="n">
        <v>1</v>
      </c>
      <c r="G401" s="6" t="n">
        <v>19.48</v>
      </c>
      <c r="H401" s="6" t="n">
        <v>3</v>
      </c>
      <c r="I401" s="6" t="n">
        <v>19.48</v>
      </c>
      <c r="J401" s="6" t="n">
        <v>16.48</v>
      </c>
    </row>
    <row collapsed="false" customFormat="false" customHeight="false" hidden="false" ht="12.1" outlineLevel="0" r="402">
      <c r="A402" s="35" t="n">
        <v>45866</v>
      </c>
      <c r="B402" s="2" t="s">
        <v>1163</v>
      </c>
      <c r="C402" s="2" t="s">
        <v>189</v>
      </c>
      <c r="D402" s="2" t="s">
        <v>190</v>
      </c>
      <c r="E402" s="6" t="n">
        <v>1000</v>
      </c>
      <c r="F402" s="7" t="n">
        <v>2</v>
      </c>
      <c r="G402" s="6" t="n">
        <v>29.17</v>
      </c>
      <c r="H402" s="6" t="n">
        <v>8</v>
      </c>
      <c r="I402" s="6" t="n">
        <v>58.34</v>
      </c>
      <c r="J402" s="6" t="n">
        <v>50.34</v>
      </c>
    </row>
    <row collapsed="false" customFormat="false" customHeight="false" hidden="false" ht="12.1" outlineLevel="0" r="403">
      <c r="A403" s="35" t="n">
        <v>45866</v>
      </c>
      <c r="B403" s="2" t="s">
        <v>1163</v>
      </c>
      <c r="C403" s="2" t="s">
        <v>291</v>
      </c>
      <c r="D403" s="2" t="s">
        <v>292</v>
      </c>
      <c r="E403" s="6" t="n">
        <v>1000</v>
      </c>
      <c r="F403" s="7" t="n">
        <v>1</v>
      </c>
      <c r="G403" s="6" t="n">
        <v>28.22</v>
      </c>
      <c r="H403" s="6" t="n">
        <v>4</v>
      </c>
      <c r="I403" s="6" t="n">
        <v>28.22</v>
      </c>
      <c r="J403" s="6" t="n">
        <v>24.22</v>
      </c>
    </row>
    <row collapsed="false" customFormat="false" customHeight="false" hidden="false" ht="12.1" outlineLevel="0" r="404">
      <c r="A404" s="35" t="n">
        <v>45867</v>
      </c>
      <c r="B404" s="2" t="s">
        <v>1163</v>
      </c>
      <c r="C404" s="2" t="s">
        <v>246</v>
      </c>
      <c r="D404" s="2" t="s">
        <v>247</v>
      </c>
      <c r="E404" s="6" t="n">
        <v>1000</v>
      </c>
      <c r="F404" s="7" t="n">
        <v>1</v>
      </c>
      <c r="G404" s="6" t="n">
        <v>52.59</v>
      </c>
      <c r="H404" s="6" t="n">
        <v>7</v>
      </c>
      <c r="I404" s="6" t="n">
        <v>52.59</v>
      </c>
      <c r="J404" s="6" t="n">
        <v>45.59</v>
      </c>
    </row>
    <row collapsed="false" customFormat="false" customHeight="false" hidden="false" ht="12.1" outlineLevel="0" r="405">
      <c r="A405" s="35" t="n">
        <v>45867</v>
      </c>
      <c r="B405" s="2" t="s">
        <v>1163</v>
      </c>
      <c r="C405" s="2" t="s">
        <v>234</v>
      </c>
      <c r="D405" s="2" t="s">
        <v>235</v>
      </c>
      <c r="E405" s="6" t="n">
        <v>1000</v>
      </c>
      <c r="F405" s="7" t="n">
        <v>1</v>
      </c>
      <c r="G405" s="6" t="n">
        <v>19.2</v>
      </c>
      <c r="H405" s="6" t="n">
        <v>2</v>
      </c>
      <c r="I405" s="6" t="n">
        <v>19.2</v>
      </c>
      <c r="J405" s="6" t="n">
        <v>17.2</v>
      </c>
    </row>
    <row collapsed="false" customFormat="false" customHeight="false" hidden="false" ht="12.1" outlineLevel="0" r="406">
      <c r="A406" s="35" t="n">
        <v>45867</v>
      </c>
      <c r="B406" s="2" t="s">
        <v>1163</v>
      </c>
      <c r="C406" s="2" t="s">
        <v>162</v>
      </c>
      <c r="D406" s="2" t="s">
        <v>163</v>
      </c>
      <c r="E406" s="6" t="n">
        <v>1000</v>
      </c>
      <c r="F406" s="7" t="n">
        <v>4</v>
      </c>
      <c r="G406" s="6" t="n">
        <v>34.41</v>
      </c>
      <c r="H406" s="6" t="n">
        <v>18</v>
      </c>
      <c r="I406" s="6" t="n">
        <v>137.64</v>
      </c>
      <c r="J406" s="6" t="n">
        <v>119.64</v>
      </c>
    </row>
    <row collapsed="false" customFormat="false" customHeight="false" hidden="false" ht="12.1" outlineLevel="0" r="407">
      <c r="A407" s="35" t="n">
        <v>45867</v>
      </c>
      <c r="B407" s="2" t="s">
        <v>1163</v>
      </c>
      <c r="C407" s="2" t="s">
        <v>95</v>
      </c>
      <c r="D407" s="2" t="s">
        <v>97</v>
      </c>
      <c r="E407" s="6" t="n">
        <v>1000</v>
      </c>
      <c r="F407" s="7" t="n">
        <v>31</v>
      </c>
      <c r="G407" s="6" t="n">
        <v>30.42</v>
      </c>
      <c r="H407" s="6" t="n">
        <v>123</v>
      </c>
      <c r="I407" s="6" t="n">
        <v>943.02</v>
      </c>
      <c r="J407" s="6" t="n">
        <v>820.02</v>
      </c>
    </row>
    <row collapsed="false" customFormat="false" customHeight="false" hidden="false" ht="12.1" outlineLevel="0" r="408">
      <c r="A408" s="35" t="n">
        <v>45869</v>
      </c>
      <c r="B408" s="2" t="s">
        <v>1163</v>
      </c>
      <c r="C408" s="2" t="s">
        <v>165</v>
      </c>
      <c r="D408" s="2" t="s">
        <v>166</v>
      </c>
      <c r="E408" s="6" t="n">
        <v>1000</v>
      </c>
      <c r="F408" s="7" t="n">
        <v>3</v>
      </c>
      <c r="G408" s="6" t="n">
        <v>59.84</v>
      </c>
      <c r="H408" s="6" t="n">
        <v>23</v>
      </c>
      <c r="I408" s="6" t="n">
        <v>179.52</v>
      </c>
      <c r="J408" s="6" t="n">
        <v>156.52</v>
      </c>
    </row>
    <row collapsed="false" customFormat="false" customHeight="false" hidden="false" ht="12.1" outlineLevel="0" r="409">
      <c r="A409" s="35" t="n">
        <v>45869</v>
      </c>
      <c r="B409" s="2" t="s">
        <v>1163</v>
      </c>
      <c r="C409" s="2" t="s">
        <v>297</v>
      </c>
      <c r="D409" s="2" t="s">
        <v>298</v>
      </c>
      <c r="E409" s="6" t="n">
        <v>1000</v>
      </c>
      <c r="F409" s="7" t="n">
        <v>1</v>
      </c>
      <c r="G409" s="6" t="n">
        <v>23.86</v>
      </c>
      <c r="H409" s="6" t="n">
        <v>3</v>
      </c>
      <c r="I409" s="6" t="n">
        <v>23.86</v>
      </c>
      <c r="J409" s="6" t="n">
        <v>20.86</v>
      </c>
    </row>
    <row collapsed="false" customFormat="false" customHeight="false" hidden="false" ht="12.1" outlineLevel="0" r="410">
      <c r="A410" s="35" t="n">
        <v>45870</v>
      </c>
      <c r="B410" s="2" t="s">
        <v>1163</v>
      </c>
      <c r="C410" s="2" t="s">
        <v>252</v>
      </c>
      <c r="D410" s="2" t="s">
        <v>253</v>
      </c>
      <c r="E410" s="6" t="n">
        <v>1000</v>
      </c>
      <c r="F410" s="7" t="n">
        <v>1</v>
      </c>
      <c r="G410" s="6" t="n">
        <v>53.1</v>
      </c>
      <c r="H410" s="6" t="n">
        <v>7</v>
      </c>
      <c r="I410" s="6" t="n">
        <v>53.1</v>
      </c>
      <c r="J410" s="6" t="n">
        <v>46.1</v>
      </c>
    </row>
    <row collapsed="false" customFormat="false" customHeight="false" hidden="false" ht="12.1" outlineLevel="0" r="411">
      <c r="A411" s="35" t="n">
        <v>45870</v>
      </c>
      <c r="B411" s="2" t="s">
        <v>1163</v>
      </c>
      <c r="C411" s="2" t="s">
        <v>183</v>
      </c>
      <c r="D411" s="2" t="s">
        <v>184</v>
      </c>
      <c r="E411" s="6" t="n">
        <v>1000</v>
      </c>
      <c r="F411" s="7" t="n">
        <v>2</v>
      </c>
      <c r="G411" s="6" t="n">
        <v>19.3</v>
      </c>
      <c r="H411" s="6" t="n">
        <v>5</v>
      </c>
      <c r="I411" s="6" t="n">
        <v>38.6</v>
      </c>
      <c r="J411" s="6" t="n">
        <v>33.6</v>
      </c>
    </row>
    <row collapsed="false" customFormat="false" customHeight="false" hidden="false" ht="12.1" outlineLevel="0" r="412">
      <c r="A412" s="35" t="n">
        <v>45874</v>
      </c>
      <c r="B412" s="2" t="s">
        <v>1163</v>
      </c>
      <c r="C412" s="2" t="s">
        <v>216</v>
      </c>
      <c r="D412" s="2" t="s">
        <v>217</v>
      </c>
      <c r="E412" s="6" t="n">
        <v>0</v>
      </c>
      <c r="F412" s="7" t="n">
        <v>1</v>
      </c>
      <c r="G412" s="6" t="n">
        <v>19.11</v>
      </c>
      <c r="H412" s="6" t="n">
        <v>2</v>
      </c>
      <c r="I412" s="6" t="n">
        <v>19.11</v>
      </c>
      <c r="J412" s="6" t="n">
        <v>17.11</v>
      </c>
    </row>
    <row collapsed="false" customFormat="false" customHeight="false" hidden="false" ht="12.1" outlineLevel="0" r="413">
      <c r="A413" s="35" t="n">
        <v>45874</v>
      </c>
      <c r="B413" s="2" t="s">
        <v>1163</v>
      </c>
      <c r="C413" s="2" t="s">
        <v>171</v>
      </c>
      <c r="D413" s="2" t="s">
        <v>172</v>
      </c>
      <c r="E413" s="6" t="n">
        <v>1000</v>
      </c>
      <c r="F413" s="7" t="n">
        <v>2</v>
      </c>
      <c r="G413" s="6" t="n">
        <v>20.63</v>
      </c>
      <c r="H413" s="6" t="n">
        <v>5</v>
      </c>
      <c r="I413" s="6" t="n">
        <v>41.26</v>
      </c>
      <c r="J413" s="6" t="n">
        <v>36.26</v>
      </c>
    </row>
    <row collapsed="false" customFormat="false" customHeight="false" hidden="false" ht="12.1" outlineLevel="0" r="414">
      <c r="A414" s="35" t="n">
        <v>45876</v>
      </c>
      <c r="B414" s="2" t="s">
        <v>1163</v>
      </c>
      <c r="C414" s="2" t="s">
        <v>228</v>
      </c>
      <c r="D414" s="2" t="s">
        <v>229</v>
      </c>
      <c r="E414" s="6" t="n">
        <v>1000</v>
      </c>
      <c r="F414" s="7" t="n">
        <v>1</v>
      </c>
      <c r="G414" s="6" t="n">
        <v>19.04</v>
      </c>
      <c r="H414" s="6" t="n">
        <v>2</v>
      </c>
      <c r="I414" s="6" t="n">
        <v>19.04</v>
      </c>
      <c r="J414" s="6" t="n">
        <v>17.04</v>
      </c>
    </row>
    <row collapsed="false" customFormat="false" customHeight="false" hidden="false" ht="12.1" outlineLevel="0" r="415">
      <c r="A415" s="35" t="n">
        <v>45881</v>
      </c>
      <c r="B415" s="2" t="s">
        <v>1163</v>
      </c>
      <c r="C415" s="2" t="s">
        <v>108</v>
      </c>
      <c r="D415" s="2" t="s">
        <v>109</v>
      </c>
      <c r="E415" s="6" t="n">
        <v>1000</v>
      </c>
      <c r="F415" s="7" t="n">
        <v>19</v>
      </c>
      <c r="G415" s="6" t="n">
        <v>34.9</v>
      </c>
      <c r="H415" s="6" t="n">
        <v>86</v>
      </c>
      <c r="I415" s="6" t="n">
        <v>663.1</v>
      </c>
      <c r="J415" s="6" t="n">
        <v>577.1</v>
      </c>
    </row>
    <row collapsed="false" customFormat="false" customHeight="false" hidden="false" ht="12.1" outlineLevel="0" r="416">
      <c r="A416" s="35" t="n">
        <v>45881</v>
      </c>
      <c r="B416" s="2" t="s">
        <v>1163</v>
      </c>
      <c r="C416" s="2" t="s">
        <v>314</v>
      </c>
      <c r="D416" s="2" t="s">
        <v>315</v>
      </c>
      <c r="E416" s="6" t="n">
        <v>300</v>
      </c>
      <c r="F416" s="7" t="n">
        <v>1</v>
      </c>
      <c r="G416" s="6" t="n">
        <v>4.67</v>
      </c>
      <c r="H416" s="6" t="n">
        <v>1</v>
      </c>
      <c r="I416" s="6" t="n">
        <v>4.67</v>
      </c>
      <c r="J416" s="6" t="n">
        <v>3.67</v>
      </c>
    </row>
    <row collapsed="false" customFormat="false" customHeight="false" hidden="false" ht="12.1" outlineLevel="0" r="417">
      <c r="A417" s="35" t="n">
        <v>45883</v>
      </c>
      <c r="B417" s="2" t="s">
        <v>1163</v>
      </c>
      <c r="C417" s="2" t="s">
        <v>168</v>
      </c>
      <c r="D417" s="2" t="s">
        <v>169</v>
      </c>
      <c r="E417" s="6" t="n">
        <v>1000</v>
      </c>
      <c r="F417" s="7" t="n">
        <v>3</v>
      </c>
      <c r="G417" s="6" t="n">
        <v>51.86</v>
      </c>
      <c r="H417" s="6" t="n">
        <v>20</v>
      </c>
      <c r="I417" s="6" t="n">
        <v>155.58</v>
      </c>
      <c r="J417" s="6" t="n">
        <v>135.58</v>
      </c>
    </row>
    <row collapsed="false" customFormat="false" customHeight="false" hidden="false" ht="12.1" outlineLevel="0" r="418">
      <c r="A418" s="35" t="n">
        <v>45883</v>
      </c>
      <c r="B418" s="2" t="s">
        <v>1163</v>
      </c>
      <c r="C418" s="2" t="s">
        <v>249</v>
      </c>
      <c r="D418" s="2" t="s">
        <v>250</v>
      </c>
      <c r="E418" s="6" t="n">
        <v>1000</v>
      </c>
      <c r="F418" s="7" t="n">
        <v>1</v>
      </c>
      <c r="G418" s="6" t="n">
        <v>51.61</v>
      </c>
      <c r="H418" s="6" t="n">
        <v>7</v>
      </c>
      <c r="I418" s="6" t="n">
        <v>51.61</v>
      </c>
      <c r="J418" s="6" t="n">
        <v>44.61</v>
      </c>
    </row>
    <row collapsed="false" customFormat="false" customHeight="false" hidden="false" ht="12.1" outlineLevel="0" r="419">
      <c r="A419" s="35" t="n">
        <v>45885</v>
      </c>
      <c r="B419" s="2" t="s">
        <v>1163</v>
      </c>
      <c r="C419" s="2" t="s">
        <v>243</v>
      </c>
      <c r="D419" s="2" t="s">
        <v>244</v>
      </c>
      <c r="E419" s="6" t="n">
        <v>1000</v>
      </c>
      <c r="F419" s="7" t="n">
        <v>1</v>
      </c>
      <c r="G419" s="6" t="n">
        <v>19.21</v>
      </c>
      <c r="H419" s="6" t="n">
        <v>2</v>
      </c>
      <c r="I419" s="6" t="n">
        <v>19.21</v>
      </c>
      <c r="J419" s="6" t="n">
        <v>17.21</v>
      </c>
    </row>
    <row collapsed="false" customFormat="false" customHeight="false" hidden="false" ht="12.1" outlineLevel="0" r="420">
      <c r="A420" s="35" t="n">
        <v>45888</v>
      </c>
      <c r="B420" s="2" t="s">
        <v>1163</v>
      </c>
      <c r="C420" s="2" t="s">
        <v>222</v>
      </c>
      <c r="D420" s="2" t="s">
        <v>223</v>
      </c>
      <c r="E420" s="6" t="n">
        <v>0</v>
      </c>
      <c r="F420" s="7" t="n">
        <v>1</v>
      </c>
      <c r="G420" s="6" t="n">
        <v>20.96</v>
      </c>
      <c r="H420" s="6" t="n">
        <v>3</v>
      </c>
      <c r="I420" s="6" t="n">
        <v>20.96</v>
      </c>
      <c r="J420" s="6" t="n">
        <v>17.96</v>
      </c>
    </row>
    <row collapsed="false" customFormat="false" customHeight="false" hidden="false" ht="12.1" outlineLevel="0" r="421">
      <c r="A421" s="35" t="n">
        <v>45889</v>
      </c>
      <c r="B421" s="2" t="s">
        <v>1163</v>
      </c>
      <c r="C421" s="2" t="s">
        <v>285</v>
      </c>
      <c r="D421" s="2" t="s">
        <v>286</v>
      </c>
      <c r="E421" s="6" t="n">
        <v>1000</v>
      </c>
      <c r="F421" s="7" t="n">
        <v>1</v>
      </c>
      <c r="G421" s="6" t="n">
        <v>11.18</v>
      </c>
      <c r="H421" s="6" t="n">
        <v>1</v>
      </c>
      <c r="I421" s="6" t="n">
        <v>11.18</v>
      </c>
      <c r="J421" s="6" t="n">
        <v>10.18</v>
      </c>
    </row>
    <row collapsed="false" customFormat="false" customHeight="false" hidden="false" ht="12.1" outlineLevel="0" r="422">
      <c r="A422" s="35" t="n">
        <v>45889</v>
      </c>
      <c r="B422" s="2" t="s">
        <v>1163</v>
      </c>
      <c r="C422" s="2" t="s">
        <v>311</v>
      </c>
      <c r="D422" s="2" t="s">
        <v>312</v>
      </c>
      <c r="E422" s="6" t="n">
        <v>375</v>
      </c>
      <c r="F422" s="7" t="n">
        <v>1</v>
      </c>
      <c r="G422" s="6" t="n">
        <v>6.5</v>
      </c>
      <c r="H422" s="6" t="n">
        <v>1</v>
      </c>
      <c r="I422" s="6" t="n">
        <v>6.5</v>
      </c>
      <c r="J422" s="6" t="n">
        <v>5.5</v>
      </c>
    </row>
    <row collapsed="false" customFormat="false" customHeight="false" hidden="false" ht="12.1" outlineLevel="0" r="423">
      <c r="A423" s="35" t="n">
        <v>45890</v>
      </c>
      <c r="B423" s="2" t="s">
        <v>1163</v>
      </c>
      <c r="C423" s="2" t="s">
        <v>195</v>
      </c>
      <c r="D423" s="2" t="s">
        <v>196</v>
      </c>
      <c r="E423" s="6" t="n">
        <v>1000</v>
      </c>
      <c r="F423" s="7" t="n">
        <v>2</v>
      </c>
      <c r="G423" s="6" t="n">
        <v>44.88</v>
      </c>
      <c r="H423" s="6" t="n">
        <v>12</v>
      </c>
      <c r="I423" s="6" t="n">
        <v>89.76</v>
      </c>
      <c r="J423" s="6" t="n">
        <v>77.76</v>
      </c>
    </row>
    <row collapsed="false" customFormat="false" customHeight="false" hidden="false" ht="12.1" outlineLevel="0" r="424">
      <c r="A424" s="35" t="n">
        <v>45891</v>
      </c>
      <c r="B424" s="2" t="s">
        <v>1163</v>
      </c>
      <c r="C424" s="2" t="s">
        <v>180</v>
      </c>
      <c r="D424" s="2" t="s">
        <v>181</v>
      </c>
      <c r="E424" s="6" t="n">
        <v>1000</v>
      </c>
      <c r="F424" s="7" t="n">
        <v>2</v>
      </c>
      <c r="G424" s="6" t="n">
        <v>18.16</v>
      </c>
      <c r="H424" s="6" t="n">
        <v>5</v>
      </c>
      <c r="I424" s="6" t="n">
        <v>36.32</v>
      </c>
      <c r="J424" s="6" t="n">
        <v>31.32</v>
      </c>
    </row>
    <row collapsed="false" customFormat="false" customHeight="false" hidden="false" ht="12.1" outlineLevel="0" r="425">
      <c r="A425" s="35" t="n">
        <v>45894</v>
      </c>
      <c r="B425" s="2" t="s">
        <v>1163</v>
      </c>
      <c r="C425" s="2" t="s">
        <v>174</v>
      </c>
      <c r="D425" s="2" t="s">
        <v>175</v>
      </c>
      <c r="E425" s="6" t="n">
        <v>1000</v>
      </c>
      <c r="F425" s="7" t="n">
        <v>3</v>
      </c>
      <c r="G425" s="6" t="n">
        <v>24.93</v>
      </c>
      <c r="H425" s="6" t="n">
        <v>10</v>
      </c>
      <c r="I425" s="6" t="n">
        <v>74.79</v>
      </c>
      <c r="J425" s="6" t="n">
        <v>64.79</v>
      </c>
    </row>
    <row collapsed="false" customFormat="false" customHeight="false" hidden="false" ht="12.1" outlineLevel="0" r="426">
      <c r="A426" s="35" t="n">
        <v>45895</v>
      </c>
      <c r="B426" s="2" t="s">
        <v>1163</v>
      </c>
      <c r="C426" s="2" t="s">
        <v>231</v>
      </c>
      <c r="D426" s="2" t="s">
        <v>232</v>
      </c>
      <c r="E426" s="6" t="n">
        <v>0</v>
      </c>
      <c r="F426" s="7" t="n">
        <v>1</v>
      </c>
      <c r="G426" s="6" t="n">
        <v>19.48</v>
      </c>
      <c r="H426" s="6" t="n">
        <v>3</v>
      </c>
      <c r="I426" s="6" t="n">
        <v>19.48</v>
      </c>
      <c r="J426" s="6" t="n">
        <v>16.48</v>
      </c>
    </row>
    <row collapsed="false" customFormat="false" customHeight="false" hidden="false" ht="12.1" outlineLevel="0" r="427">
      <c r="A427" s="35" t="n">
        <v>45897</v>
      </c>
      <c r="B427" s="2" t="s">
        <v>1163</v>
      </c>
      <c r="C427" s="2" t="s">
        <v>276</v>
      </c>
      <c r="D427" s="2" t="s">
        <v>277</v>
      </c>
      <c r="E427" s="6" t="n">
        <v>1000</v>
      </c>
      <c r="F427" s="7" t="n">
        <v>1</v>
      </c>
      <c r="G427" s="6" t="n">
        <v>24.81</v>
      </c>
      <c r="H427" s="6" t="n">
        <v>3</v>
      </c>
      <c r="I427" s="6" t="n">
        <v>24.81</v>
      </c>
      <c r="J427" s="6" t="n">
        <v>21.81</v>
      </c>
    </row>
    <row collapsed="false" customFormat="false" customHeight="false" hidden="false" ht="12.1" outlineLevel="0" r="428">
      <c r="A428" s="35" t="n">
        <v>45898</v>
      </c>
      <c r="B428" s="2" t="s">
        <v>1163</v>
      </c>
      <c r="C428" s="2" t="s">
        <v>234</v>
      </c>
      <c r="D428" s="2" t="s">
        <v>235</v>
      </c>
      <c r="E428" s="6" t="n">
        <v>1000</v>
      </c>
      <c r="F428" s="7" t="n">
        <v>1</v>
      </c>
      <c r="G428" s="6" t="n">
        <v>19.2</v>
      </c>
      <c r="H428" s="6" t="n">
        <v>2</v>
      </c>
      <c r="I428" s="6" t="n">
        <v>19.2</v>
      </c>
      <c r="J428" s="6" t="n">
        <v>17.2</v>
      </c>
    </row>
    <row collapsed="false" customFormat="false" customHeight="false" hidden="false" ht="12.1" outlineLevel="0" r="429">
      <c r="A429" s="35" t="n">
        <v>45900</v>
      </c>
      <c r="B429" s="2" t="s">
        <v>1163</v>
      </c>
      <c r="C429" s="2" t="s">
        <v>192</v>
      </c>
      <c r="D429" s="2" t="s">
        <v>193</v>
      </c>
      <c r="E429" s="6" t="n">
        <v>1000</v>
      </c>
      <c r="F429" s="7" t="n">
        <v>2</v>
      </c>
      <c r="G429" s="6" t="n">
        <v>19.95</v>
      </c>
      <c r="H429" s="6" t="n">
        <v>5</v>
      </c>
      <c r="I429" s="6" t="n">
        <v>39.9</v>
      </c>
      <c r="J429" s="6" t="n">
        <v>34.9</v>
      </c>
    </row>
    <row collapsed="false" customFormat="false" customHeight="false" hidden="false" ht="12.1" outlineLevel="0" r="430">
      <c r="A430" s="35" t="n">
        <v>45900</v>
      </c>
      <c r="B430" s="2" t="s">
        <v>1163</v>
      </c>
      <c r="C430" s="2" t="s">
        <v>300</v>
      </c>
      <c r="D430" s="2" t="s">
        <v>301</v>
      </c>
      <c r="E430" s="6" t="n">
        <v>1000</v>
      </c>
      <c r="F430" s="7" t="n">
        <v>1</v>
      </c>
      <c r="G430" s="6" t="n">
        <v>25.68</v>
      </c>
      <c r="H430" s="6" t="n">
        <v>3</v>
      </c>
      <c r="I430" s="6" t="n">
        <v>25.68</v>
      </c>
      <c r="J430" s="6" t="n">
        <v>22.68</v>
      </c>
    </row>
    <row collapsed="false" customFormat="false" customHeight="false" hidden="false" ht="12.1" outlineLevel="0" r="431">
      <c r="A431" s="35" t="n">
        <v>45901</v>
      </c>
      <c r="B431" s="2" t="s">
        <v>1163</v>
      </c>
      <c r="C431" s="2" t="s">
        <v>264</v>
      </c>
      <c r="D431" s="2" t="s">
        <v>265</v>
      </c>
      <c r="E431" s="6" t="n">
        <v>1000</v>
      </c>
      <c r="F431" s="7" t="n">
        <v>1</v>
      </c>
      <c r="G431" s="6" t="n">
        <v>29.17</v>
      </c>
      <c r="H431" s="6" t="n">
        <v>4</v>
      </c>
      <c r="I431" s="6" t="n">
        <v>29.17</v>
      </c>
      <c r="J431" s="6" t="n">
        <v>25.17</v>
      </c>
    </row>
    <row collapsed="false" customFormat="false" customHeight="false" hidden="false" ht="12.1" outlineLevel="0" r="432">
      <c r="A432" s="35" t="n">
        <v>45901</v>
      </c>
      <c r="B432" s="2" t="s">
        <v>1163</v>
      </c>
      <c r="C432" s="2" t="s">
        <v>183</v>
      </c>
      <c r="D432" s="2" t="s">
        <v>184</v>
      </c>
      <c r="E432" s="6" t="n">
        <v>1000</v>
      </c>
      <c r="F432" s="7" t="n">
        <v>2</v>
      </c>
      <c r="G432" s="6" t="n">
        <v>19.3</v>
      </c>
      <c r="H432" s="6" t="n">
        <v>5</v>
      </c>
      <c r="I432" s="6" t="n">
        <v>38.6</v>
      </c>
      <c r="J432" s="6" t="n">
        <v>33.6</v>
      </c>
    </row>
    <row collapsed="false" customFormat="false" customHeight="false" hidden="false" ht="12.1" outlineLevel="0" r="433">
      <c r="A433" s="35" t="n">
        <v>45902</v>
      </c>
      <c r="B433" s="2" t="s">
        <v>1163</v>
      </c>
      <c r="C433" s="2" t="s">
        <v>159</v>
      </c>
      <c r="D433" s="2" t="s">
        <v>160</v>
      </c>
      <c r="E433" s="6" t="n">
        <v>1000</v>
      </c>
      <c r="F433" s="7" t="n">
        <v>4</v>
      </c>
      <c r="G433" s="6" t="n">
        <v>44.88</v>
      </c>
      <c r="H433" s="6" t="n">
        <v>23</v>
      </c>
      <c r="I433" s="6" t="n">
        <v>179.52</v>
      </c>
      <c r="J433" s="6" t="n">
        <v>156.52</v>
      </c>
    </row>
    <row collapsed="false" customFormat="false" customHeight="false" hidden="false" ht="12.1" outlineLevel="0" r="434">
      <c r="A434" s="35" t="n">
        <v>45902</v>
      </c>
      <c r="B434" s="2" t="s">
        <v>1163</v>
      </c>
      <c r="C434" s="2" t="s">
        <v>303</v>
      </c>
      <c r="D434" s="2" t="s">
        <v>304</v>
      </c>
      <c r="E434" s="6" t="n">
        <v>1000</v>
      </c>
      <c r="F434" s="7" t="n">
        <v>1</v>
      </c>
      <c r="G434" s="6" t="n">
        <v>19.55</v>
      </c>
      <c r="H434" s="6" t="n">
        <v>3</v>
      </c>
      <c r="I434" s="6" t="n">
        <v>19.55</v>
      </c>
      <c r="J434" s="6" t="n">
        <v>16.55</v>
      </c>
    </row>
    <row collapsed="false" customFormat="false" customHeight="false" hidden="false" ht="12.1" outlineLevel="0" r="435">
      <c r="A435" s="35" t="n">
        <v>45902</v>
      </c>
      <c r="B435" s="2" t="s">
        <v>1163</v>
      </c>
      <c r="C435" s="2" t="s">
        <v>225</v>
      </c>
      <c r="D435" s="2" t="s">
        <v>226</v>
      </c>
      <c r="E435" s="6" t="n">
        <v>1000</v>
      </c>
      <c r="F435" s="7" t="n">
        <v>1</v>
      </c>
      <c r="G435" s="6" t="n">
        <v>106.71</v>
      </c>
      <c r="H435" s="6" t="n">
        <v>14</v>
      </c>
      <c r="I435" s="6" t="n">
        <v>106.71</v>
      </c>
      <c r="J435" s="6" t="n">
        <v>92.71</v>
      </c>
    </row>
    <row collapsed="false" customFormat="false" customHeight="false" hidden="false" ht="12.1" outlineLevel="0" r="436">
      <c r="A436" s="35" t="n">
        <v>45902</v>
      </c>
      <c r="B436" s="2" t="s">
        <v>1163</v>
      </c>
      <c r="C436" s="2" t="s">
        <v>306</v>
      </c>
      <c r="D436" s="2" t="s">
        <v>307</v>
      </c>
      <c r="E436" s="6" t="n">
        <v>1000</v>
      </c>
      <c r="F436" s="7" t="n">
        <v>1</v>
      </c>
      <c r="G436" s="6" t="n">
        <v>19.87</v>
      </c>
      <c r="H436" s="6" t="n">
        <v>3</v>
      </c>
      <c r="I436" s="6" t="n">
        <v>19.87</v>
      </c>
      <c r="J436" s="6" t="n">
        <v>16.87</v>
      </c>
    </row>
    <row collapsed="false" customFormat="false" customHeight="false" hidden="false" ht="12.1" outlineLevel="0" r="437">
      <c r="A437" s="35" t="n">
        <v>45903</v>
      </c>
      <c r="B437" s="2" t="s">
        <v>1163</v>
      </c>
      <c r="C437" s="2" t="s">
        <v>240</v>
      </c>
      <c r="D437" s="2" t="s">
        <v>241</v>
      </c>
      <c r="E437" s="6" t="n">
        <v>1000</v>
      </c>
      <c r="F437" s="7" t="n">
        <v>1</v>
      </c>
      <c r="G437" s="6" t="n">
        <v>35.53</v>
      </c>
      <c r="H437" s="6" t="n">
        <v>5</v>
      </c>
      <c r="I437" s="6" t="n">
        <v>35.53</v>
      </c>
      <c r="J437" s="6" t="n">
        <v>30.53</v>
      </c>
    </row>
    <row collapsed="false" customFormat="false" customHeight="false" hidden="false" ht="12.1" outlineLevel="0" r="438">
      <c r="A438" s="35" t="n">
        <v>45904</v>
      </c>
      <c r="B438" s="2" t="s">
        <v>1163</v>
      </c>
      <c r="C438" s="2" t="s">
        <v>216</v>
      </c>
      <c r="D438" s="2" t="s">
        <v>217</v>
      </c>
      <c r="E438" s="6" t="n">
        <v>0</v>
      </c>
      <c r="F438" s="7" t="n">
        <v>1</v>
      </c>
      <c r="G438" s="6" t="n">
        <v>19.11</v>
      </c>
      <c r="H438" s="6" t="n">
        <v>2</v>
      </c>
      <c r="I438" s="6" t="n">
        <v>19.11</v>
      </c>
      <c r="J438" s="6" t="n">
        <v>17.11</v>
      </c>
    </row>
    <row collapsed="false" customFormat="false" customHeight="false" hidden="false" ht="12.1" outlineLevel="0" r="439">
      <c r="A439" s="35" t="n">
        <v>45907</v>
      </c>
      <c r="B439" s="2" t="s">
        <v>1163</v>
      </c>
      <c r="C439" s="2" t="s">
        <v>228</v>
      </c>
      <c r="D439" s="2" t="s">
        <v>229</v>
      </c>
      <c r="E439" s="6" t="n">
        <v>1000</v>
      </c>
      <c r="F439" s="7" t="n">
        <v>1</v>
      </c>
      <c r="G439" s="6" t="n">
        <v>19.04</v>
      </c>
      <c r="H439" s="6" t="n">
        <v>2</v>
      </c>
      <c r="I439" s="6" t="n">
        <v>19.04</v>
      </c>
      <c r="J439" s="6" t="n">
        <v>17.04</v>
      </c>
    </row>
    <row collapsed="false" customFormat="false" customHeight="false" hidden="false" ht="12.1" outlineLevel="0" r="440">
      <c r="A440" s="35" t="n">
        <v>45911</v>
      </c>
      <c r="B440" s="2" t="s">
        <v>1163</v>
      </c>
      <c r="C440" s="2" t="s">
        <v>210</v>
      </c>
      <c r="D440" s="2" t="s">
        <v>211</v>
      </c>
      <c r="E440" s="6" t="n">
        <v>1000</v>
      </c>
      <c r="F440" s="7" t="n">
        <v>2</v>
      </c>
      <c r="G440" s="6" t="n">
        <v>17.83</v>
      </c>
      <c r="H440" s="6" t="n">
        <v>5</v>
      </c>
      <c r="I440" s="6" t="n">
        <v>35.66</v>
      </c>
      <c r="J440" s="6" t="n">
        <v>30.66</v>
      </c>
    </row>
    <row collapsed="false" customFormat="false" customHeight="false" hidden="false" ht="12.1" outlineLevel="0" r="441">
      <c r="A441" s="35" t="n">
        <v>45915</v>
      </c>
      <c r="B441" s="2" t="s">
        <v>1163</v>
      </c>
      <c r="C441" s="2" t="s">
        <v>279</v>
      </c>
      <c r="D441" s="2" t="s">
        <v>280</v>
      </c>
      <c r="E441" s="6" t="n">
        <v>1000</v>
      </c>
      <c r="F441" s="7" t="n">
        <v>1</v>
      </c>
      <c r="G441" s="6" t="n">
        <v>39.39</v>
      </c>
      <c r="H441" s="6" t="n">
        <v>5</v>
      </c>
      <c r="I441" s="6" t="n">
        <v>39.39</v>
      </c>
      <c r="J441" s="6" t="n">
        <v>34.39</v>
      </c>
    </row>
    <row collapsed="false" customFormat="false" customHeight="false" hidden="false" ht="12.1" outlineLevel="0" r="442">
      <c r="A442" s="35" t="n">
        <v>45916</v>
      </c>
      <c r="B442" s="2" t="s">
        <v>1163</v>
      </c>
      <c r="C442" s="2" t="s">
        <v>117</v>
      </c>
      <c r="D442" s="2" t="s">
        <v>118</v>
      </c>
      <c r="E442" s="6" t="n">
        <v>1000</v>
      </c>
      <c r="F442" s="7" t="n">
        <v>14</v>
      </c>
      <c r="G442" s="6" t="n">
        <v>29.42</v>
      </c>
      <c r="H442" s="6" t="n">
        <v>54</v>
      </c>
      <c r="I442" s="6" t="n">
        <v>411.88</v>
      </c>
      <c r="J442" s="6" t="n">
        <v>357.88</v>
      </c>
    </row>
    <row collapsed="false" customFormat="false" customHeight="false" hidden="false" ht="12.1" outlineLevel="0" r="443">
      <c r="A443" s="35" t="n">
        <v>45916</v>
      </c>
      <c r="B443" s="2" t="s">
        <v>1163</v>
      </c>
      <c r="C443" s="2" t="s">
        <v>243</v>
      </c>
      <c r="D443" s="2" t="s">
        <v>244</v>
      </c>
      <c r="E443" s="6" t="n">
        <v>1000</v>
      </c>
      <c r="F443" s="7" t="n">
        <v>1</v>
      </c>
      <c r="G443" s="6" t="n">
        <v>19.21</v>
      </c>
      <c r="H443" s="6" t="n">
        <v>2</v>
      </c>
      <c r="I443" s="6" t="n">
        <v>19.21</v>
      </c>
      <c r="J443" s="6" t="n">
        <v>17.21</v>
      </c>
    </row>
    <row collapsed="false" customFormat="false" customHeight="false" hidden="false" ht="12.1" outlineLevel="0" r="444">
      <c r="A444" s="35" t="n">
        <v>45918</v>
      </c>
      <c r="B444" s="2" t="s">
        <v>1163</v>
      </c>
      <c r="C444" s="2" t="s">
        <v>222</v>
      </c>
      <c r="D444" s="2" t="s">
        <v>223</v>
      </c>
      <c r="E444" s="6" t="n">
        <v>0</v>
      </c>
      <c r="F444" s="7" t="n">
        <v>1</v>
      </c>
      <c r="G444" s="6" t="n">
        <v>20.96</v>
      </c>
      <c r="H444" s="6" t="n">
        <v>3</v>
      </c>
      <c r="I444" s="6" t="n">
        <v>20.96</v>
      </c>
      <c r="J444" s="6" t="n">
        <v>17.96</v>
      </c>
    </row>
    <row collapsed="false" customFormat="false" customHeight="false" hidden="false" ht="12.1" outlineLevel="0" r="445">
      <c r="A445" s="35" t="n">
        <v>45919</v>
      </c>
      <c r="B445" s="2" t="s">
        <v>1163</v>
      </c>
      <c r="C445" s="2" t="s">
        <v>285</v>
      </c>
      <c r="D445" s="2" t="s">
        <v>286</v>
      </c>
      <c r="E445" s="6" t="n">
        <v>1000</v>
      </c>
      <c r="F445" s="7" t="n">
        <v>1</v>
      </c>
      <c r="G445" s="6" t="n">
        <v>11.18</v>
      </c>
      <c r="H445" s="6" t="n">
        <v>1</v>
      </c>
      <c r="I445" s="6" t="n">
        <v>11.18</v>
      </c>
      <c r="J445" s="6" t="n">
        <v>10.18</v>
      </c>
    </row>
    <row collapsed="false" customFormat="false" customHeight="false" hidden="false" ht="12.1" outlineLevel="0" r="446">
      <c r="A446" s="35" t="n">
        <v>45921</v>
      </c>
      <c r="B446" s="2" t="s">
        <v>1163</v>
      </c>
      <c r="C446" s="2" t="s">
        <v>198</v>
      </c>
      <c r="D446" s="2" t="s">
        <v>199</v>
      </c>
      <c r="E446" s="6" t="n">
        <v>1000</v>
      </c>
      <c r="F446" s="7" t="n">
        <v>2</v>
      </c>
      <c r="G446" s="6" t="n">
        <v>45.38</v>
      </c>
      <c r="H446" s="6" t="n">
        <v>12</v>
      </c>
      <c r="I446" s="6" t="n">
        <v>90.76</v>
      </c>
      <c r="J446" s="6" t="n">
        <v>78.76</v>
      </c>
    </row>
    <row collapsed="false" customFormat="false" customHeight="false" hidden="false" ht="12.1" outlineLevel="0" r="447">
      <c r="A447" s="35" t="n">
        <v>45921</v>
      </c>
      <c r="B447" s="2" t="s">
        <v>1163</v>
      </c>
      <c r="C447" s="2" t="s">
        <v>180</v>
      </c>
      <c r="D447" s="2" t="s">
        <v>181</v>
      </c>
      <c r="E447" s="6" t="n">
        <v>1000</v>
      </c>
      <c r="F447" s="7" t="n">
        <v>2</v>
      </c>
      <c r="G447" s="6" t="n">
        <v>18.16</v>
      </c>
      <c r="H447" s="6" t="n">
        <v>5</v>
      </c>
      <c r="I447" s="6" t="n">
        <v>36.32</v>
      </c>
      <c r="J447" s="6" t="n">
        <v>31.32</v>
      </c>
    </row>
    <row collapsed="false" customFormat="false" customHeight="false" hidden="false" ht="12.1" outlineLevel="0" r="448">
      <c r="A448" s="35" t="n">
        <v>45923</v>
      </c>
      <c r="B448" s="2" t="s">
        <v>1163</v>
      </c>
      <c r="C448" s="2" t="s">
        <v>144</v>
      </c>
      <c r="D448" s="2" t="s">
        <v>145</v>
      </c>
      <c r="E448" s="6" t="n">
        <v>1000</v>
      </c>
      <c r="F448" s="7" t="n">
        <v>6</v>
      </c>
      <c r="G448" s="6" t="n">
        <v>59.84</v>
      </c>
      <c r="H448" s="6" t="n">
        <v>47</v>
      </c>
      <c r="I448" s="6" t="n">
        <v>359.04</v>
      </c>
      <c r="J448" s="6" t="n">
        <v>312.04</v>
      </c>
    </row>
    <row collapsed="false" customFormat="false" customHeight="false" hidden="false" ht="12.1" outlineLevel="0" r="449">
      <c r="A449" s="35" t="n">
        <v>45923</v>
      </c>
      <c r="B449" s="2" t="s">
        <v>1163</v>
      </c>
      <c r="C449" s="2" t="s">
        <v>138</v>
      </c>
      <c r="D449" s="2" t="s">
        <v>139</v>
      </c>
      <c r="E449" s="6" t="n">
        <v>1000</v>
      </c>
      <c r="F449" s="7" t="n">
        <v>7</v>
      </c>
      <c r="G449" s="6" t="n">
        <v>56.1</v>
      </c>
      <c r="H449" s="6" t="n">
        <v>51</v>
      </c>
      <c r="I449" s="6" t="n">
        <v>392.7</v>
      </c>
      <c r="J449" s="6" t="n">
        <v>341.7</v>
      </c>
    </row>
    <row collapsed="false" customFormat="false" customHeight="false" hidden="false" ht="12.1" outlineLevel="0" r="450">
      <c r="A450" s="35" t="n">
        <v>45923</v>
      </c>
      <c r="B450" s="2" t="s">
        <v>1163</v>
      </c>
      <c r="C450" s="2" t="s">
        <v>126</v>
      </c>
      <c r="D450" s="2" t="s">
        <v>127</v>
      </c>
      <c r="E450" s="6" t="n">
        <v>1000</v>
      </c>
      <c r="F450" s="7" t="n">
        <v>10</v>
      </c>
      <c r="G450" s="6" t="n">
        <v>42.38</v>
      </c>
      <c r="H450" s="6" t="n">
        <v>55</v>
      </c>
      <c r="I450" s="6" t="n">
        <v>423.8</v>
      </c>
      <c r="J450" s="6" t="n">
        <v>368.8</v>
      </c>
    </row>
    <row collapsed="false" customFormat="false" customHeight="false" hidden="false" ht="12.1" outlineLevel="0" r="451">
      <c r="A451" s="35" t="n">
        <v>45923</v>
      </c>
      <c r="B451" s="2" t="s">
        <v>1163</v>
      </c>
      <c r="C451" s="2" t="s">
        <v>153</v>
      </c>
      <c r="D451" s="2" t="s">
        <v>154</v>
      </c>
      <c r="E451" s="6" t="n">
        <v>1000</v>
      </c>
      <c r="F451" s="7" t="n">
        <v>4</v>
      </c>
      <c r="G451" s="6" t="n">
        <v>17.63</v>
      </c>
      <c r="H451" s="6" t="n">
        <v>9</v>
      </c>
      <c r="I451" s="6" t="n">
        <v>70.52</v>
      </c>
      <c r="J451" s="6" t="n">
        <v>61.52</v>
      </c>
    </row>
    <row collapsed="false" customFormat="false" customHeight="false" hidden="false" ht="12.1" outlineLevel="0" r="452">
      <c r="A452" s="35" t="n">
        <v>45925</v>
      </c>
      <c r="B452" s="2" t="s">
        <v>1163</v>
      </c>
      <c r="C452" s="2" t="s">
        <v>282</v>
      </c>
      <c r="D452" s="2" t="s">
        <v>283</v>
      </c>
      <c r="E452" s="6" t="n">
        <v>1000</v>
      </c>
      <c r="F452" s="7" t="n">
        <v>1</v>
      </c>
      <c r="G452" s="6" t="n">
        <v>52.36</v>
      </c>
      <c r="H452" s="6" t="n">
        <v>7</v>
      </c>
      <c r="I452" s="6" t="n">
        <v>52.36</v>
      </c>
      <c r="J452" s="6" t="n">
        <v>45.36</v>
      </c>
    </row>
    <row collapsed="false" customFormat="false" customHeight="false" hidden="false" ht="12.1" outlineLevel="0" r="453">
      <c r="A453" s="35" t="n">
        <v>45925</v>
      </c>
      <c r="B453" s="2" t="s">
        <v>1163</v>
      </c>
      <c r="C453" s="2" t="s">
        <v>231</v>
      </c>
      <c r="D453" s="2" t="s">
        <v>232</v>
      </c>
      <c r="E453" s="6" t="n">
        <v>0</v>
      </c>
      <c r="F453" s="7" t="n">
        <v>1</v>
      </c>
      <c r="G453" s="6" t="n">
        <v>19.48</v>
      </c>
      <c r="H453" s="6" t="n">
        <v>3</v>
      </c>
      <c r="I453" s="6" t="n">
        <v>19.48</v>
      </c>
      <c r="J453" s="6" t="n">
        <v>16.48</v>
      </c>
    </row>
    <row collapsed="false" customFormat="false" customHeight="false" hidden="false" ht="12.1" outlineLevel="0" r="454">
      <c r="A454" s="35" t="n">
        <v>45929</v>
      </c>
      <c r="B454" s="2" t="s">
        <v>1163</v>
      </c>
      <c r="C454" s="2" t="s">
        <v>234</v>
      </c>
      <c r="D454" s="2" t="s">
        <v>235</v>
      </c>
      <c r="E454" s="6" t="n">
        <v>1000</v>
      </c>
      <c r="F454" s="7" t="n">
        <v>1</v>
      </c>
      <c r="G454" s="6" t="n">
        <v>19.2</v>
      </c>
      <c r="H454" s="6" t="n">
        <v>2</v>
      </c>
      <c r="I454" s="6" t="n">
        <v>19.2</v>
      </c>
      <c r="J454" s="6" t="n">
        <v>17.2</v>
      </c>
    </row>
    <row collapsed="false" customFormat="false" customHeight="false" hidden="false" ht="12.1" outlineLevel="0" r="455">
      <c r="A455" s="35" t="n">
        <v>45930</v>
      </c>
      <c r="B455" s="2" t="s">
        <v>1163</v>
      </c>
      <c r="C455" s="2" t="s">
        <v>111</v>
      </c>
      <c r="D455" s="2" t="s">
        <v>112</v>
      </c>
      <c r="E455" s="6" t="n">
        <v>1000</v>
      </c>
      <c r="F455" s="7" t="n">
        <v>17</v>
      </c>
      <c r="G455" s="6" t="n">
        <v>38.39</v>
      </c>
      <c r="H455" s="6" t="n">
        <v>85</v>
      </c>
      <c r="I455" s="6" t="n">
        <v>652.63</v>
      </c>
      <c r="J455" s="6" t="n">
        <v>567.63</v>
      </c>
    </row>
    <row collapsed="false" customFormat="false" customHeight="false" hidden="false" ht="12.1" outlineLevel="0" r="456">
      <c r="A456" s="35" t="n">
        <v>45930</v>
      </c>
      <c r="B456" s="2" t="s">
        <v>1163</v>
      </c>
      <c r="C456" s="2" t="s">
        <v>132</v>
      </c>
      <c r="D456" s="2" t="s">
        <v>133</v>
      </c>
      <c r="E456" s="6" t="n">
        <v>1000</v>
      </c>
      <c r="F456" s="7" t="n">
        <v>10</v>
      </c>
      <c r="G456" s="6" t="n">
        <v>38.39</v>
      </c>
      <c r="H456" s="6" t="n">
        <v>50</v>
      </c>
      <c r="I456" s="6" t="n">
        <v>383.9</v>
      </c>
      <c r="J456" s="6" t="n">
        <v>333.9</v>
      </c>
    </row>
    <row collapsed="false" customFormat="false" customHeight="false" hidden="false" ht="12.1" outlineLevel="0" r="457">
      <c r="A457" s="35" t="n">
        <v>45932</v>
      </c>
      <c r="B457" s="2" t="s">
        <v>1163</v>
      </c>
      <c r="C457" s="2" t="s">
        <v>183</v>
      </c>
      <c r="D457" s="2" t="s">
        <v>184</v>
      </c>
      <c r="E457" s="6" t="n">
        <v>1000</v>
      </c>
      <c r="F457" s="7" t="n">
        <v>2</v>
      </c>
      <c r="G457" s="6" t="n">
        <v>19.3</v>
      </c>
      <c r="H457" s="6" t="n">
        <v>5</v>
      </c>
      <c r="I457" s="6" t="n">
        <v>38.6</v>
      </c>
      <c r="J457" s="6" t="n">
        <v>33.6</v>
      </c>
    </row>
    <row collapsed="false" customFormat="false" customHeight="false" hidden="false" ht="12.1" outlineLevel="0" r="458">
      <c r="A458" s="35" t="n">
        <v>45934</v>
      </c>
      <c r="B458" s="2" t="s">
        <v>1163</v>
      </c>
      <c r="C458" s="2" t="s">
        <v>216</v>
      </c>
      <c r="D458" s="2" t="s">
        <v>217</v>
      </c>
      <c r="E458" s="6" t="n">
        <v>0</v>
      </c>
      <c r="F458" s="7" t="n">
        <v>1</v>
      </c>
      <c r="G458" s="6" t="n">
        <v>19.11</v>
      </c>
      <c r="H458" s="6" t="n">
        <v>2</v>
      </c>
      <c r="I458" s="6" t="n">
        <v>19.11</v>
      </c>
      <c r="J458" s="6" t="n">
        <v>17.11</v>
      </c>
    </row>
    <row collapsed="false" customFormat="false" customHeight="false" hidden="false" ht="12.1" outlineLevel="0" r="459">
      <c r="A459" s="35" t="n">
        <v>45937</v>
      </c>
      <c r="B459" s="2" t="s">
        <v>1163</v>
      </c>
      <c r="C459" s="2" t="s">
        <v>156</v>
      </c>
      <c r="D459" s="2" t="s">
        <v>157</v>
      </c>
      <c r="E459" s="6" t="n">
        <v>0</v>
      </c>
      <c r="F459" s="7" t="n">
        <v>4</v>
      </c>
      <c r="G459" s="6" t="n">
        <v>59.84</v>
      </c>
      <c r="H459" s="6" t="n">
        <v>31</v>
      </c>
      <c r="I459" s="6" t="n">
        <v>239.36</v>
      </c>
      <c r="J459" s="6" t="n">
        <v>208.36</v>
      </c>
    </row>
    <row collapsed="false" customFormat="false" customHeight="false" hidden="false" ht="12.1" outlineLevel="0" r="460">
      <c r="A460" s="35" t="n">
        <v>45937</v>
      </c>
      <c r="B460" s="2" t="s">
        <v>1163</v>
      </c>
      <c r="C460" s="2" t="s">
        <v>141</v>
      </c>
      <c r="D460" s="2" t="s">
        <v>142</v>
      </c>
      <c r="E460" s="6" t="n">
        <v>1000</v>
      </c>
      <c r="F460" s="7" t="n">
        <v>5</v>
      </c>
      <c r="G460" s="6" t="n">
        <v>110.05</v>
      </c>
      <c r="H460" s="6" t="n">
        <v>72</v>
      </c>
      <c r="I460" s="6" t="n">
        <v>550.25</v>
      </c>
      <c r="J460" s="6" t="n">
        <v>478.25</v>
      </c>
    </row>
    <row collapsed="false" customFormat="false" customHeight="false" hidden="false" ht="12.1" outlineLevel="0" r="461">
      <c r="A461" s="35" t="n">
        <v>45938</v>
      </c>
      <c r="B461" s="2" t="s">
        <v>1163</v>
      </c>
      <c r="C461" s="2" t="s">
        <v>228</v>
      </c>
      <c r="D461" s="2" t="s">
        <v>229</v>
      </c>
      <c r="E461" s="6" t="n">
        <v>1000</v>
      </c>
      <c r="F461" s="7" t="n">
        <v>1</v>
      </c>
      <c r="G461" s="6" t="n">
        <v>19.04</v>
      </c>
      <c r="H461" s="6" t="n">
        <v>2</v>
      </c>
      <c r="I461" s="6" t="n">
        <v>19.04</v>
      </c>
      <c r="J461" s="6" t="n">
        <v>17.04</v>
      </c>
    </row>
    <row collapsed="false" customFormat="false" customHeight="false" hidden="false" ht="12.1" outlineLevel="0" r="462">
      <c r="A462" s="35" t="n">
        <v>45943</v>
      </c>
      <c r="B462" s="2" t="s">
        <v>1163</v>
      </c>
      <c r="C462" s="2" t="s">
        <v>207</v>
      </c>
      <c r="D462" s="2" t="s">
        <v>208</v>
      </c>
      <c r="E462" s="6" t="n">
        <v>1000</v>
      </c>
      <c r="F462" s="7" t="n">
        <v>2</v>
      </c>
      <c r="G462" s="6" t="n">
        <v>24.93</v>
      </c>
      <c r="H462" s="6" t="n">
        <v>6</v>
      </c>
      <c r="I462" s="6" t="n">
        <v>49.86</v>
      </c>
      <c r="J462" s="6" t="n">
        <v>43.86</v>
      </c>
    </row>
    <row collapsed="false" customFormat="false" customHeight="false" hidden="false" ht="12.1" outlineLevel="0" r="463">
      <c r="A463" s="35" t="n">
        <v>45944</v>
      </c>
      <c r="B463" s="2" t="s">
        <v>1163</v>
      </c>
      <c r="C463" s="2" t="s">
        <v>294</v>
      </c>
      <c r="D463" s="2" t="s">
        <v>295</v>
      </c>
      <c r="E463" s="6" t="n">
        <v>1000</v>
      </c>
      <c r="F463" s="7" t="n">
        <v>1</v>
      </c>
      <c r="G463" s="6" t="n">
        <v>26.18</v>
      </c>
      <c r="H463" s="6" t="n">
        <v>3</v>
      </c>
      <c r="I463" s="6" t="n">
        <v>26.18</v>
      </c>
      <c r="J463" s="6" t="n">
        <v>23.18</v>
      </c>
    </row>
    <row collapsed="false" customFormat="false" customHeight="false" hidden="false" ht="12.1" outlineLevel="0" r="464">
      <c r="A464" s="35" t="n">
        <v>45944</v>
      </c>
      <c r="B464" s="2" t="s">
        <v>1163</v>
      </c>
      <c r="C464" s="2" t="s">
        <v>114</v>
      </c>
      <c r="D464" s="2" t="s">
        <v>115</v>
      </c>
      <c r="E464" s="6" t="n">
        <v>1000</v>
      </c>
      <c r="F464" s="7" t="n">
        <v>13</v>
      </c>
      <c r="G464" s="6" t="n">
        <v>38.15</v>
      </c>
      <c r="H464" s="6" t="n">
        <v>64</v>
      </c>
      <c r="I464" s="6" t="n">
        <v>495.95</v>
      </c>
      <c r="J464" s="6" t="n">
        <v>431.95</v>
      </c>
    </row>
    <row collapsed="false" customFormat="false" customHeight="false" hidden="false" ht="12.1" outlineLevel="0" r="465">
      <c r="A465" s="35" t="n">
        <v>45944</v>
      </c>
      <c r="B465" s="2" t="s">
        <v>1163</v>
      </c>
      <c r="C465" s="2" t="s">
        <v>219</v>
      </c>
      <c r="D465" s="2" t="s">
        <v>220</v>
      </c>
      <c r="E465" s="6" t="n">
        <v>1000</v>
      </c>
      <c r="F465" s="7" t="n">
        <v>1</v>
      </c>
      <c r="G465" s="6" t="n">
        <v>97.23</v>
      </c>
      <c r="H465" s="6" t="n">
        <v>13</v>
      </c>
      <c r="I465" s="6" t="n">
        <v>97.23</v>
      </c>
      <c r="J465" s="6" t="n">
        <v>84.23</v>
      </c>
    </row>
    <row collapsed="false" customFormat="false" customHeight="false" hidden="false" ht="12.1" outlineLevel="0" r="466">
      <c r="A466" s="35" t="n">
        <v>45947</v>
      </c>
      <c r="B466" s="2" t="s">
        <v>1163</v>
      </c>
      <c r="C466" s="2" t="s">
        <v>243</v>
      </c>
      <c r="D466" s="2" t="s">
        <v>244</v>
      </c>
      <c r="E466" s="6" t="n">
        <v>1000</v>
      </c>
      <c r="F466" s="7" t="n">
        <v>1</v>
      </c>
      <c r="G466" s="6" t="n">
        <v>19.21</v>
      </c>
      <c r="H466" s="6" t="n">
        <v>2</v>
      </c>
      <c r="I466" s="6" t="n">
        <v>19.21</v>
      </c>
      <c r="J466" s="6" t="n">
        <v>17.21</v>
      </c>
    </row>
    <row collapsed="false" customFormat="false" customHeight="false" hidden="false" ht="12.1" outlineLevel="0" r="467">
      <c r="A467" s="35" t="n">
        <v>45948</v>
      </c>
      <c r="B467" s="2" t="s">
        <v>1163</v>
      </c>
      <c r="C467" s="2" t="s">
        <v>222</v>
      </c>
      <c r="D467" s="2" t="s">
        <v>223</v>
      </c>
      <c r="E467" s="6" t="n">
        <v>0</v>
      </c>
      <c r="F467" s="7" t="n">
        <v>1</v>
      </c>
      <c r="G467" s="6" t="n">
        <v>20.96</v>
      </c>
      <c r="H467" s="6" t="n">
        <v>3</v>
      </c>
      <c r="I467" s="6" t="n">
        <v>20.96</v>
      </c>
      <c r="J467" s="6" t="n">
        <v>17.96</v>
      </c>
    </row>
    <row collapsed="false" customFormat="false" customHeight="false" hidden="false" ht="12.1" outlineLevel="0" r="468">
      <c r="A468" s="35" t="n">
        <v>45949</v>
      </c>
      <c r="B468" s="2" t="s">
        <v>1163</v>
      </c>
      <c r="C468" s="2" t="s">
        <v>285</v>
      </c>
      <c r="D468" s="2" t="s">
        <v>286</v>
      </c>
      <c r="E468" s="6" t="n">
        <v>1000</v>
      </c>
      <c r="F468" s="7" t="n">
        <v>1</v>
      </c>
      <c r="G468" s="6" t="n">
        <v>11.18</v>
      </c>
      <c r="H468" s="6" t="n">
        <v>1</v>
      </c>
      <c r="I468" s="6" t="n">
        <v>11.18</v>
      </c>
      <c r="J468" s="6" t="n">
        <v>10.18</v>
      </c>
    </row>
    <row collapsed="false" customFormat="false" customHeight="false" hidden="false" ht="12.1" outlineLevel="0" r="469">
      <c r="A469" s="35" t="n">
        <v>45950</v>
      </c>
      <c r="B469" s="2" t="s">
        <v>1163</v>
      </c>
      <c r="C469" s="2" t="s">
        <v>308</v>
      </c>
      <c r="D469" s="2" t="s">
        <v>309</v>
      </c>
      <c r="E469" s="6" t="n">
        <v>505</v>
      </c>
      <c r="F469" s="7" t="n">
        <v>1</v>
      </c>
      <c r="G469" s="6" t="n">
        <v>17.31</v>
      </c>
      <c r="H469" s="6" t="n">
        <v>2</v>
      </c>
      <c r="I469" s="6" t="n">
        <v>17.31</v>
      </c>
      <c r="J469" s="6" t="n">
        <v>15.31</v>
      </c>
    </row>
    <row collapsed="false" customFormat="false" customHeight="false" hidden="false" ht="12.1" outlineLevel="0" r="470">
      <c r="A470" s="35" t="n">
        <v>45951</v>
      </c>
      <c r="B470" s="2" t="s">
        <v>1163</v>
      </c>
      <c r="C470" s="2" t="s">
        <v>237</v>
      </c>
      <c r="D470" s="2" t="s">
        <v>238</v>
      </c>
      <c r="E470" s="6" t="n">
        <v>1000</v>
      </c>
      <c r="F470" s="7" t="n">
        <v>1</v>
      </c>
      <c r="G470" s="6" t="n">
        <v>56.52</v>
      </c>
      <c r="H470" s="6" t="n">
        <v>7</v>
      </c>
      <c r="I470" s="6" t="n">
        <v>56.52</v>
      </c>
      <c r="J470" s="6" t="n">
        <v>49.52</v>
      </c>
    </row>
    <row collapsed="false" customFormat="false" customHeight="false" hidden="false" ht="12.1" outlineLevel="0" r="471">
      <c r="A471" s="35" t="n">
        <v>45951</v>
      </c>
      <c r="B471" s="2" t="s">
        <v>1163</v>
      </c>
      <c r="C471" s="2" t="s">
        <v>180</v>
      </c>
      <c r="D471" s="2" t="s">
        <v>181</v>
      </c>
      <c r="E471" s="6" t="n">
        <v>1000</v>
      </c>
      <c r="F471" s="7" t="n">
        <v>2</v>
      </c>
      <c r="G471" s="6" t="n">
        <v>18.16</v>
      </c>
      <c r="H471" s="6" t="n">
        <v>5</v>
      </c>
      <c r="I471" s="6" t="n">
        <v>36.32</v>
      </c>
      <c r="J471" s="6" t="n">
        <v>31.32</v>
      </c>
    </row>
    <row collapsed="false" customFormat="false" customHeight="false" hidden="false" ht="12.1" outlineLevel="0" r="472">
      <c r="A472" s="35" t="n">
        <v>45955</v>
      </c>
      <c r="B472" s="2" t="s">
        <v>1163</v>
      </c>
      <c r="C472" s="2" t="s">
        <v>231</v>
      </c>
      <c r="D472" s="2" t="s">
        <v>232</v>
      </c>
      <c r="E472" s="6" t="n">
        <v>0</v>
      </c>
      <c r="F472" s="7" t="n">
        <v>1</v>
      </c>
      <c r="G472" s="6" t="n">
        <v>19.48</v>
      </c>
      <c r="H472" s="6" t="n">
        <v>3</v>
      </c>
      <c r="I472" s="6" t="n">
        <v>19.48</v>
      </c>
      <c r="J472" s="6" t="n">
        <v>16.48</v>
      </c>
    </row>
    <row collapsed="false" customFormat="false" customHeight="false" hidden="false" ht="12.1" outlineLevel="0" r="473">
      <c r="A473" s="35" t="n">
        <v>45957</v>
      </c>
      <c r="B473" s="2" t="s">
        <v>1163</v>
      </c>
      <c r="C473" s="2" t="s">
        <v>189</v>
      </c>
      <c r="D473" s="2" t="s">
        <v>190</v>
      </c>
      <c r="E473" s="6" t="n">
        <v>1000</v>
      </c>
      <c r="F473" s="7" t="n">
        <v>2</v>
      </c>
      <c r="G473" s="6" t="n">
        <v>29.17</v>
      </c>
      <c r="H473" s="6" t="n">
        <v>8</v>
      </c>
      <c r="I473" s="6" t="n">
        <v>58.34</v>
      </c>
      <c r="J473" s="6" t="n">
        <v>50.34</v>
      </c>
    </row>
    <row collapsed="false" customFormat="false" customHeight="false" hidden="false" ht="12.1" outlineLevel="0" r="474">
      <c r="A474" s="35" t="n">
        <v>45957</v>
      </c>
      <c r="B474" s="2" t="s">
        <v>1163</v>
      </c>
      <c r="C474" s="2" t="s">
        <v>291</v>
      </c>
      <c r="D474" s="2" t="s">
        <v>292</v>
      </c>
      <c r="E474" s="6" t="n">
        <v>1000</v>
      </c>
      <c r="F474" s="7" t="n">
        <v>1</v>
      </c>
      <c r="G474" s="6" t="n">
        <v>28.22</v>
      </c>
      <c r="H474" s="6" t="n">
        <v>4</v>
      </c>
      <c r="I474" s="6" t="n">
        <v>28.22</v>
      </c>
      <c r="J474" s="6" t="n">
        <v>24.22</v>
      </c>
    </row>
    <row collapsed="false" customFormat="false" customHeight="false" hidden="false" ht="12.1" outlineLevel="0" r="475">
      <c r="A475" s="35" t="n">
        <v>45958</v>
      </c>
      <c r="B475" s="2" t="s">
        <v>1163</v>
      </c>
      <c r="C475" s="2" t="s">
        <v>246</v>
      </c>
      <c r="D475" s="2" t="s">
        <v>247</v>
      </c>
      <c r="E475" s="6" t="n">
        <v>1000</v>
      </c>
      <c r="F475" s="7" t="n">
        <v>1</v>
      </c>
      <c r="G475" s="6" t="n">
        <v>52.59</v>
      </c>
      <c r="H475" s="6" t="n">
        <v>7</v>
      </c>
      <c r="I475" s="6" t="n">
        <v>52.59</v>
      </c>
      <c r="J475" s="6" t="n">
        <v>45.59</v>
      </c>
    </row>
    <row collapsed="false" customFormat="false" customHeight="false" hidden="false" ht="12.1" outlineLevel="0" r="476">
      <c r="A476" s="35" t="n">
        <v>45960</v>
      </c>
      <c r="B476" s="2" t="s">
        <v>1163</v>
      </c>
      <c r="C476" s="2" t="s">
        <v>297</v>
      </c>
      <c r="D476" s="2" t="s">
        <v>298</v>
      </c>
      <c r="E476" s="6" t="n">
        <v>1000</v>
      </c>
      <c r="F476" s="7" t="n">
        <v>1</v>
      </c>
      <c r="G476" s="6" t="n">
        <v>23.86</v>
      </c>
      <c r="H476" s="6" t="n">
        <v>3</v>
      </c>
      <c r="I476" s="6" t="n">
        <v>23.86</v>
      </c>
      <c r="J476" s="6" t="n">
        <v>20.86</v>
      </c>
    </row>
    <row collapsed="false" customFormat="false" customHeight="false" hidden="false" ht="12.1" outlineLevel="0" r="477">
      <c r="A477" s="35" t="n">
        <v>45960</v>
      </c>
      <c r="B477" s="2" t="s">
        <v>1163</v>
      </c>
      <c r="C477" s="2" t="s">
        <v>267</v>
      </c>
      <c r="D477" s="2" t="s">
        <v>268</v>
      </c>
      <c r="E477" s="6" t="n">
        <v>1000</v>
      </c>
      <c r="F477" s="7" t="n">
        <v>1</v>
      </c>
      <c r="G477" s="6" t="n">
        <v>59.19</v>
      </c>
      <c r="H477" s="6" t="n">
        <v>8</v>
      </c>
      <c r="I477" s="6" t="n">
        <v>59.19</v>
      </c>
      <c r="J477" s="6" t="n">
        <v>51.19</v>
      </c>
    </row>
    <row collapsed="false" customFormat="false" customHeight="false" hidden="false" ht="12.1" outlineLevel="0" r="478">
      <c r="A478" s="35" t="n">
        <v>45960</v>
      </c>
      <c r="B478" s="2" t="s">
        <v>1163</v>
      </c>
      <c r="C478" s="2" t="s">
        <v>234</v>
      </c>
      <c r="D478" s="2" t="s">
        <v>235</v>
      </c>
      <c r="E478" s="6" t="n">
        <v>1000</v>
      </c>
      <c r="F478" s="7" t="n">
        <v>1</v>
      </c>
      <c r="G478" s="6" t="n">
        <v>19.2</v>
      </c>
      <c r="H478" s="6" t="n">
        <v>2</v>
      </c>
      <c r="I478" s="6" t="n">
        <v>19.2</v>
      </c>
      <c r="J478" s="6" t="n">
        <v>17.2</v>
      </c>
    </row>
    <row collapsed="false" customFormat="false" customHeight="false" hidden="false" ht="12.1" outlineLevel="0" r="479">
      <c r="A479" s="35" t="n">
        <v>45963</v>
      </c>
      <c r="B479" s="2" t="s">
        <v>1163</v>
      </c>
      <c r="C479" s="2" t="s">
        <v>183</v>
      </c>
      <c r="D479" s="2" t="s">
        <v>184</v>
      </c>
      <c r="E479" s="6" t="n">
        <v>1000</v>
      </c>
      <c r="F479" s="7" t="n">
        <v>2</v>
      </c>
      <c r="G479" s="6" t="n">
        <v>19.3</v>
      </c>
      <c r="H479" s="6" t="n">
        <v>5</v>
      </c>
      <c r="I479" s="6" t="n">
        <v>38.6</v>
      </c>
      <c r="J479" s="6" t="n">
        <v>33.6</v>
      </c>
    </row>
    <row collapsed="false" customFormat="false" customHeight="false" hidden="false" ht="12.1" outlineLevel="0" r="480">
      <c r="A480" s="35" t="n">
        <v>45964</v>
      </c>
      <c r="B480" s="2" t="s">
        <v>1163</v>
      </c>
      <c r="C480" s="2" t="s">
        <v>216</v>
      </c>
      <c r="D480" s="2" t="s">
        <v>217</v>
      </c>
      <c r="E480" s="6" t="n">
        <v>0</v>
      </c>
      <c r="F480" s="7" t="n">
        <v>1</v>
      </c>
      <c r="G480" s="6" t="n">
        <v>19.11</v>
      </c>
      <c r="H480" s="6" t="n">
        <v>2</v>
      </c>
      <c r="I480" s="6" t="n">
        <v>19.11</v>
      </c>
      <c r="J480" s="6" t="n">
        <v>17.11</v>
      </c>
    </row>
    <row collapsed="false" customFormat="false" customHeight="false" hidden="false" ht="12.1" outlineLevel="0" r="481">
      <c r="A481" s="35" t="n">
        <v>45967</v>
      </c>
      <c r="B481" s="2" t="s">
        <v>1163</v>
      </c>
      <c r="C481" s="2" t="s">
        <v>204</v>
      </c>
      <c r="D481" s="2" t="s">
        <v>205</v>
      </c>
      <c r="E481" s="6" t="n">
        <v>1000</v>
      </c>
      <c r="F481" s="7" t="n">
        <v>2</v>
      </c>
      <c r="G481" s="6" t="n">
        <v>45.38</v>
      </c>
      <c r="H481" s="6" t="n">
        <v>12</v>
      </c>
      <c r="I481" s="6" t="n">
        <v>90.76</v>
      </c>
      <c r="J481" s="6" t="n">
        <v>78.76</v>
      </c>
    </row>
    <row collapsed="false" customFormat="false" customHeight="false" hidden="false" ht="12.1" outlineLevel="0" r="482">
      <c r="A482" s="35" t="n">
        <v>45969</v>
      </c>
      <c r="B482" s="2" t="s">
        <v>1163</v>
      </c>
      <c r="C482" s="2" t="s">
        <v>228</v>
      </c>
      <c r="D482" s="2" t="s">
        <v>229</v>
      </c>
      <c r="E482" s="6" t="n">
        <v>1000</v>
      </c>
      <c r="F482" s="7" t="n">
        <v>1</v>
      </c>
      <c r="G482" s="6" t="n">
        <v>19.04</v>
      </c>
      <c r="H482" s="6" t="n">
        <v>2</v>
      </c>
      <c r="I482" s="6" t="n">
        <v>19.04</v>
      </c>
      <c r="J482" s="6" t="n">
        <v>17.04</v>
      </c>
    </row>
    <row collapsed="false" customFormat="false" customHeight="false" hidden="false" ht="12.1" outlineLevel="0" r="483">
      <c r="A483" s="35" t="n">
        <v>45972</v>
      </c>
      <c r="B483" s="2" t="s">
        <v>1163</v>
      </c>
      <c r="C483" s="2" t="s">
        <v>105</v>
      </c>
      <c r="D483" s="2" t="s">
        <v>106</v>
      </c>
      <c r="E483" s="6" t="n">
        <v>1000</v>
      </c>
      <c r="F483" s="7" t="n">
        <v>11</v>
      </c>
      <c r="G483" s="6" t="n">
        <v>112.04</v>
      </c>
      <c r="H483" s="6" t="n">
        <v>160</v>
      </c>
      <c r="I483" s="6" t="n">
        <v>1232.44</v>
      </c>
      <c r="J483" s="6" t="n">
        <v>1072.44</v>
      </c>
    </row>
    <row collapsed="false" customFormat="false" customHeight="false" hidden="false" ht="12.1" outlineLevel="0" r="484">
      <c r="A484" s="35" t="n">
        <v>45972</v>
      </c>
      <c r="B484" s="2" t="s">
        <v>1163</v>
      </c>
      <c r="C484" s="2" t="s">
        <v>314</v>
      </c>
      <c r="D484" s="2" t="s">
        <v>315</v>
      </c>
      <c r="E484" s="6" t="n">
        <v>300</v>
      </c>
      <c r="F484" s="7" t="n">
        <v>1</v>
      </c>
      <c r="G484" s="6" t="n">
        <v>4.67</v>
      </c>
      <c r="H484" s="6" t="n">
        <v>1</v>
      </c>
      <c r="I484" s="6" t="n">
        <v>4.67</v>
      </c>
      <c r="J484" s="6" t="n">
        <v>3.67</v>
      </c>
    </row>
    <row collapsed="false" customFormat="false" customHeight="false" hidden="false" ht="12.1" outlineLevel="0" r="485">
      <c r="A485" s="35" t="n">
        <v>45978</v>
      </c>
      <c r="B485" s="2" t="s">
        <v>1163</v>
      </c>
      <c r="C485" s="2" t="s">
        <v>222</v>
      </c>
      <c r="D485" s="2" t="s">
        <v>223</v>
      </c>
      <c r="E485" s="6" t="n">
        <v>0</v>
      </c>
      <c r="F485" s="7" t="n">
        <v>1</v>
      </c>
      <c r="G485" s="6" t="n">
        <v>20.96</v>
      </c>
      <c r="H485" s="6" t="n">
        <v>3</v>
      </c>
      <c r="I485" s="6" t="n">
        <v>20.96</v>
      </c>
      <c r="J485" s="6" t="n">
        <v>17.96</v>
      </c>
    </row>
    <row collapsed="false" customFormat="false" customHeight="false" hidden="false" ht="12.1" outlineLevel="0" r="486">
      <c r="A486" s="35" t="n">
        <v>45978</v>
      </c>
      <c r="B486" s="2" t="s">
        <v>1163</v>
      </c>
      <c r="C486" s="2" t="s">
        <v>243</v>
      </c>
      <c r="D486" s="2" t="s">
        <v>244</v>
      </c>
      <c r="E486" s="6" t="n">
        <v>1000</v>
      </c>
      <c r="F486" s="7" t="n">
        <v>1</v>
      </c>
      <c r="G486" s="6" t="n">
        <v>19.21</v>
      </c>
      <c r="H486" s="6" t="n">
        <v>2</v>
      </c>
      <c r="I486" s="6" t="n">
        <v>19.21</v>
      </c>
      <c r="J486" s="6" t="n">
        <v>17.21</v>
      </c>
    </row>
    <row collapsed="false" customFormat="false" customHeight="false" hidden="false" ht="12.1" outlineLevel="0" r="487">
      <c r="A487" s="35" t="n">
        <v>45979</v>
      </c>
      <c r="B487" s="2" t="s">
        <v>1163</v>
      </c>
      <c r="C487" s="2" t="s">
        <v>285</v>
      </c>
      <c r="D487" s="2" t="s">
        <v>286</v>
      </c>
      <c r="E487" s="6" t="n">
        <v>1000</v>
      </c>
      <c r="F487" s="7" t="n">
        <v>1</v>
      </c>
      <c r="G487" s="6" t="n">
        <v>11.18</v>
      </c>
      <c r="H487" s="6" t="n">
        <v>1</v>
      </c>
      <c r="I487" s="6" t="n">
        <v>11.18</v>
      </c>
      <c r="J487" s="6" t="n">
        <v>10.18</v>
      </c>
    </row>
    <row collapsed="false" customFormat="false" customHeight="false" hidden="false" ht="12.1" outlineLevel="0" r="488">
      <c r="A488" s="35" t="n">
        <v>45979</v>
      </c>
      <c r="B488" s="2" t="s">
        <v>1163</v>
      </c>
      <c r="C488" s="2" t="s">
        <v>150</v>
      </c>
      <c r="D488" s="2" t="s">
        <v>151</v>
      </c>
      <c r="E488" s="6" t="n">
        <v>1000</v>
      </c>
      <c r="F488" s="7" t="n">
        <v>6</v>
      </c>
      <c r="G488" s="6" t="n">
        <v>15.13</v>
      </c>
      <c r="H488" s="6" t="n">
        <v>12</v>
      </c>
      <c r="I488" s="6" t="n">
        <v>90.78</v>
      </c>
      <c r="J488" s="6" t="n">
        <v>78.78</v>
      </c>
    </row>
    <row collapsed="false" customFormat="false" customHeight="false" hidden="false" ht="12.1" outlineLevel="0" r="489">
      <c r="A489" s="35" t="n">
        <v>45979</v>
      </c>
      <c r="B489" s="2" t="s">
        <v>1163</v>
      </c>
      <c r="C489" s="2" t="s">
        <v>135</v>
      </c>
      <c r="D489" s="2" t="s">
        <v>136</v>
      </c>
      <c r="E489" s="6" t="n">
        <v>1000</v>
      </c>
      <c r="F489" s="7" t="n">
        <v>10</v>
      </c>
      <c r="G489" s="6" t="n">
        <v>36.15</v>
      </c>
      <c r="H489" s="6" t="n">
        <v>47</v>
      </c>
      <c r="I489" s="6" t="n">
        <v>361.5</v>
      </c>
      <c r="J489" s="6" t="n">
        <v>314.5</v>
      </c>
    </row>
    <row collapsed="false" customFormat="false" customHeight="false" hidden="false" ht="12.1" outlineLevel="0" r="490">
      <c r="A490" s="35" t="n">
        <v>45980</v>
      </c>
      <c r="B490" s="2" t="s">
        <v>1163</v>
      </c>
      <c r="C490" s="2" t="s">
        <v>311</v>
      </c>
      <c r="D490" s="2" t="s">
        <v>312</v>
      </c>
      <c r="E490" s="6" t="n">
        <v>375</v>
      </c>
      <c r="F490" s="7" t="n">
        <v>1</v>
      </c>
      <c r="G490" s="6" t="n">
        <v>6.5</v>
      </c>
      <c r="H490" s="6" t="n">
        <v>1</v>
      </c>
      <c r="I490" s="6" t="n">
        <v>6.5</v>
      </c>
      <c r="J490" s="6" t="n">
        <v>5.5</v>
      </c>
    </row>
    <row collapsed="false" customFormat="false" customHeight="false" hidden="false" ht="12.1" outlineLevel="0" r="491">
      <c r="A491" s="35" t="n">
        <v>45981</v>
      </c>
      <c r="B491" s="2" t="s">
        <v>1163</v>
      </c>
      <c r="C491" s="2" t="s">
        <v>180</v>
      </c>
      <c r="D491" s="2" t="s">
        <v>181</v>
      </c>
      <c r="E491" s="6" t="n">
        <v>1000</v>
      </c>
      <c r="F491" s="7" t="n">
        <v>2</v>
      </c>
      <c r="G491" s="6" t="n">
        <v>18.16</v>
      </c>
      <c r="H491" s="6" t="n">
        <v>5</v>
      </c>
      <c r="I491" s="6" t="n">
        <v>36.32</v>
      </c>
      <c r="J491" s="6" t="n">
        <v>31.32</v>
      </c>
    </row>
    <row collapsed="false" customFormat="false" customHeight="false" hidden="false" ht="12.1" outlineLevel="0" r="492">
      <c r="A492" s="35" t="n">
        <v>45985</v>
      </c>
      <c r="B492" s="2" t="s">
        <v>1163</v>
      </c>
      <c r="C492" s="2" t="s">
        <v>174</v>
      </c>
      <c r="D492" s="2" t="s">
        <v>175</v>
      </c>
      <c r="E492" s="6" t="n">
        <v>1000</v>
      </c>
      <c r="F492" s="7" t="n">
        <v>3</v>
      </c>
      <c r="G492" s="6" t="n">
        <v>24.93</v>
      </c>
      <c r="H492" s="6" t="n">
        <v>10</v>
      </c>
      <c r="I492" s="6" t="n">
        <v>74.79</v>
      </c>
      <c r="J492" s="6" t="n">
        <v>64.79</v>
      </c>
    </row>
    <row collapsed="false" customFormat="false" customHeight="false" hidden="false" ht="12.1" outlineLevel="0" r="493">
      <c r="A493" s="35" t="n">
        <v>45985</v>
      </c>
      <c r="B493" s="2" t="s">
        <v>1163</v>
      </c>
      <c r="C493" s="2" t="s">
        <v>231</v>
      </c>
      <c r="D493" s="2" t="s">
        <v>232</v>
      </c>
      <c r="E493" s="6" t="n">
        <v>0</v>
      </c>
      <c r="F493" s="7" t="n">
        <v>1</v>
      </c>
      <c r="G493" s="6" t="n">
        <v>19.48</v>
      </c>
      <c r="H493" s="6" t="n">
        <v>3</v>
      </c>
      <c r="I493" s="6" t="n">
        <v>19.48</v>
      </c>
      <c r="J493" s="6" t="n">
        <v>16.48</v>
      </c>
    </row>
    <row collapsed="false" customFormat="false" customHeight="false" hidden="false" ht="12.1" outlineLevel="0" r="494">
      <c r="A494" s="35" t="n">
        <v>45986</v>
      </c>
      <c r="B494" s="2" t="s">
        <v>1163</v>
      </c>
      <c r="C494" s="2" t="s">
        <v>147</v>
      </c>
      <c r="D494" s="2" t="s">
        <v>148</v>
      </c>
      <c r="E494" s="6" t="n">
        <v>1000</v>
      </c>
      <c r="F494" s="7" t="n">
        <v>6</v>
      </c>
      <c r="G494" s="6" t="n">
        <v>61.08</v>
      </c>
      <c r="H494" s="6" t="n">
        <v>48</v>
      </c>
      <c r="I494" s="6" t="n">
        <v>366.48</v>
      </c>
      <c r="J494" s="6" t="n">
        <v>318.48</v>
      </c>
    </row>
    <row collapsed="false" customFormat="false" customHeight="false" hidden="false" ht="12.1" outlineLevel="0" r="495">
      <c r="A495" s="35" t="n">
        <v>45986</v>
      </c>
      <c r="B495" s="2" t="s">
        <v>1163</v>
      </c>
      <c r="C495" s="2" t="s">
        <v>123</v>
      </c>
      <c r="D495" s="2" t="s">
        <v>124</v>
      </c>
      <c r="E495" s="6" t="n">
        <v>1000</v>
      </c>
      <c r="F495" s="7" t="n">
        <v>10</v>
      </c>
      <c r="G495" s="6" t="n">
        <v>47.37</v>
      </c>
      <c r="H495" s="6" t="n">
        <v>62</v>
      </c>
      <c r="I495" s="6" t="n">
        <v>473.7</v>
      </c>
      <c r="J495" s="6" t="n">
        <v>411.7</v>
      </c>
    </row>
    <row collapsed="false" customFormat="false" customHeight="false" hidden="false" ht="12.1" outlineLevel="0" r="496">
      <c r="A496" s="35" t="n">
        <v>45988</v>
      </c>
      <c r="B496" s="2" t="s">
        <v>1163</v>
      </c>
      <c r="C496" s="2" t="s">
        <v>276</v>
      </c>
      <c r="D496" s="2" t="s">
        <v>277</v>
      </c>
      <c r="E496" s="6" t="n">
        <v>1000</v>
      </c>
      <c r="F496" s="7" t="n">
        <v>1</v>
      </c>
      <c r="G496" s="6" t="n">
        <v>24.81</v>
      </c>
      <c r="H496" s="6" t="n">
        <v>3</v>
      </c>
      <c r="I496" s="6" t="n">
        <v>24.81</v>
      </c>
      <c r="J496" s="6" t="n">
        <v>21.81</v>
      </c>
    </row>
    <row collapsed="false" customFormat="false" customHeight="false" hidden="false" ht="12.1" outlineLevel="0" r="497">
      <c r="A497" s="35" t="n">
        <v>45991</v>
      </c>
      <c r="B497" s="2" t="s">
        <v>1163</v>
      </c>
      <c r="C497" s="2" t="s">
        <v>234</v>
      </c>
      <c r="D497" s="2" t="s">
        <v>235</v>
      </c>
      <c r="E497" s="6" t="n">
        <v>1000</v>
      </c>
      <c r="F497" s="7" t="n">
        <v>1</v>
      </c>
      <c r="G497" s="6" t="n">
        <v>19.2</v>
      </c>
      <c r="H497" s="6" t="n">
        <v>2</v>
      </c>
      <c r="I497" s="6" t="n">
        <v>19.2</v>
      </c>
      <c r="J497" s="6" t="n">
        <v>17.2</v>
      </c>
    </row>
    <row collapsed="false" customFormat="false" customHeight="false" hidden="false" ht="12.1" outlineLevel="0" r="498">
      <c r="A498" s="35" t="n">
        <v>45991</v>
      </c>
      <c r="B498" s="2" t="s">
        <v>1163</v>
      </c>
      <c r="C498" s="2" t="s">
        <v>300</v>
      </c>
      <c r="D498" s="2" t="s">
        <v>301</v>
      </c>
      <c r="E498" s="6" t="n">
        <v>1000</v>
      </c>
      <c r="F498" s="7" t="n">
        <v>1</v>
      </c>
      <c r="G498" s="6" t="n">
        <v>25.68</v>
      </c>
      <c r="H498" s="6" t="n">
        <v>3</v>
      </c>
      <c r="I498" s="6" t="n">
        <v>25.68</v>
      </c>
      <c r="J498" s="6" t="n">
        <v>22.68</v>
      </c>
    </row>
    <row collapsed="false" customFormat="false" customHeight="false" hidden="false" ht="12.1" outlineLevel="0" r="499">
      <c r="A499" s="35" t="n">
        <v>45991</v>
      </c>
      <c r="B499" s="2" t="s">
        <v>1163</v>
      </c>
      <c r="C499" s="2" t="s">
        <v>192</v>
      </c>
      <c r="D499" s="2" t="s">
        <v>193</v>
      </c>
      <c r="E499" s="6" t="n">
        <v>1000</v>
      </c>
      <c r="F499" s="7" t="n">
        <v>2</v>
      </c>
      <c r="G499" s="6" t="n">
        <v>19.95</v>
      </c>
      <c r="H499" s="6" t="n">
        <v>5</v>
      </c>
      <c r="I499" s="6" t="n">
        <v>39.9</v>
      </c>
      <c r="J499" s="6" t="n">
        <v>34.9</v>
      </c>
    </row>
    <row collapsed="false" customFormat="false" customHeight="false" hidden="false" ht="12.1" outlineLevel="0" r="500">
      <c r="A500" s="35" t="n">
        <v>45992</v>
      </c>
      <c r="B500" s="2" t="s">
        <v>1163</v>
      </c>
      <c r="C500" s="2" t="s">
        <v>255</v>
      </c>
      <c r="D500" s="2" t="s">
        <v>256</v>
      </c>
      <c r="E500" s="6" t="n">
        <v>1000</v>
      </c>
      <c r="F500" s="7" t="n">
        <v>1</v>
      </c>
      <c r="G500" s="6" t="n">
        <v>56.1</v>
      </c>
      <c r="H500" s="6" t="n">
        <v>7</v>
      </c>
      <c r="I500" s="6" t="n">
        <v>56.1</v>
      </c>
      <c r="J500" s="6" t="n">
        <v>49.1</v>
      </c>
    </row>
    <row collapsed="false" customFormat="false" customHeight="false" hidden="false" ht="12.1" outlineLevel="0" r="501">
      <c r="A501" s="35" t="n">
        <v>45992</v>
      </c>
      <c r="B501" s="2" t="s">
        <v>1163</v>
      </c>
      <c r="C501" s="2" t="s">
        <v>264</v>
      </c>
      <c r="D501" s="2" t="s">
        <v>265</v>
      </c>
      <c r="E501" s="6" t="n">
        <v>1000</v>
      </c>
      <c r="F501" s="7" t="n">
        <v>1</v>
      </c>
      <c r="G501" s="6" t="n">
        <v>29.17</v>
      </c>
      <c r="H501" s="6" t="n">
        <v>4</v>
      </c>
      <c r="I501" s="6" t="n">
        <v>29.17</v>
      </c>
      <c r="J501" s="6" t="n">
        <v>25.17</v>
      </c>
    </row>
    <row collapsed="false" customFormat="false" customHeight="false" hidden="false" ht="12.1" outlineLevel="0" r="502">
      <c r="A502" s="35" t="n">
        <v>45993</v>
      </c>
      <c r="B502" s="2" t="s">
        <v>1163</v>
      </c>
      <c r="C502" s="2" t="s">
        <v>303</v>
      </c>
      <c r="D502" s="2" t="s">
        <v>304</v>
      </c>
      <c r="E502" s="6" t="n">
        <v>1000</v>
      </c>
      <c r="F502" s="7" t="n">
        <v>1</v>
      </c>
      <c r="G502" s="6" t="n">
        <v>19.55</v>
      </c>
      <c r="H502" s="6" t="n">
        <v>3</v>
      </c>
      <c r="I502" s="6" t="n">
        <v>19.55</v>
      </c>
      <c r="J502" s="6" t="n">
        <v>16.55</v>
      </c>
    </row>
    <row collapsed="false" customFormat="false" customHeight="false" hidden="false" ht="12.1" outlineLevel="0" r="503">
      <c r="A503" s="35" t="n">
        <v>45993</v>
      </c>
      <c r="B503" s="2" t="s">
        <v>1163</v>
      </c>
      <c r="C503" s="2" t="s">
        <v>306</v>
      </c>
      <c r="D503" s="2" t="s">
        <v>307</v>
      </c>
      <c r="E503" s="6" t="n">
        <v>1000</v>
      </c>
      <c r="F503" s="7" t="n">
        <v>1</v>
      </c>
      <c r="G503" s="6" t="n">
        <v>19.87</v>
      </c>
      <c r="H503" s="6" t="n">
        <v>3</v>
      </c>
      <c r="I503" s="6" t="n">
        <v>19.87</v>
      </c>
      <c r="J503" s="6" t="n">
        <v>16.87</v>
      </c>
    </row>
    <row collapsed="false" customFormat="false" customHeight="false" hidden="false" ht="12.1" outlineLevel="0" r="504">
      <c r="A504" s="35" t="n">
        <v>45993</v>
      </c>
      <c r="B504" s="2" t="s">
        <v>1163</v>
      </c>
      <c r="C504" s="2" t="s">
        <v>261</v>
      </c>
      <c r="D504" s="2" t="s">
        <v>262</v>
      </c>
      <c r="E504" s="6" t="n">
        <v>1000</v>
      </c>
      <c r="F504" s="7" t="n">
        <v>1</v>
      </c>
      <c r="G504" s="6" t="n">
        <v>56.84</v>
      </c>
      <c r="H504" s="6" t="n">
        <v>7</v>
      </c>
      <c r="I504" s="6" t="n">
        <v>56.84</v>
      </c>
      <c r="J504" s="6" t="n">
        <v>49.84</v>
      </c>
    </row>
    <row collapsed="false" customFormat="false" customHeight="false" hidden="false" ht="12.1" outlineLevel="0" r="505">
      <c r="A505" s="35" t="n">
        <v>45993</v>
      </c>
      <c r="B505" s="2" t="s">
        <v>1163</v>
      </c>
      <c r="C505" s="2" t="s">
        <v>129</v>
      </c>
      <c r="D505" s="2" t="s">
        <v>130</v>
      </c>
      <c r="E505" s="6" t="n">
        <v>1000</v>
      </c>
      <c r="F505" s="7" t="n">
        <v>8</v>
      </c>
      <c r="G505" s="6" t="n">
        <v>61.08</v>
      </c>
      <c r="H505" s="6" t="n">
        <v>64</v>
      </c>
      <c r="I505" s="6" t="n">
        <v>488.64</v>
      </c>
      <c r="J505" s="6" t="n">
        <v>424.64</v>
      </c>
    </row>
    <row collapsed="false" customFormat="false" customHeight="false" hidden="false" ht="12.1" outlineLevel="0" r="506">
      <c r="A506" s="35" t="n">
        <v>45993</v>
      </c>
      <c r="B506" s="2" t="s">
        <v>1163</v>
      </c>
      <c r="C506" s="2" t="s">
        <v>120</v>
      </c>
      <c r="D506" s="2" t="s">
        <v>121</v>
      </c>
      <c r="E506" s="6" t="n">
        <v>1000</v>
      </c>
      <c r="F506" s="7" t="n">
        <v>12</v>
      </c>
      <c r="G506" s="6" t="n">
        <v>48.87</v>
      </c>
      <c r="H506" s="6" t="n">
        <v>76</v>
      </c>
      <c r="I506" s="6" t="n">
        <v>586.44</v>
      </c>
      <c r="J506" s="6" t="n">
        <v>510.44</v>
      </c>
    </row>
    <row collapsed="false" customFormat="false" customHeight="false" hidden="false" ht="12.1" outlineLevel="0" r="507">
      <c r="A507" s="35" t="n">
        <v>45993</v>
      </c>
      <c r="B507" s="2" t="s">
        <v>1163</v>
      </c>
      <c r="C507" s="2" t="s">
        <v>186</v>
      </c>
      <c r="D507" s="2" t="s">
        <v>187</v>
      </c>
      <c r="E507" s="6" t="n">
        <v>1000</v>
      </c>
      <c r="F507" s="7" t="n">
        <v>2</v>
      </c>
      <c r="G507" s="6" t="n">
        <v>32.66</v>
      </c>
      <c r="H507" s="6" t="n">
        <v>8</v>
      </c>
      <c r="I507" s="6" t="n">
        <v>65.32</v>
      </c>
      <c r="J507" s="6" t="n">
        <v>57.32</v>
      </c>
    </row>
    <row collapsed="false" customFormat="false" customHeight="false" hidden="false" ht="12.1" outlineLevel="0" r="508">
      <c r="A508" s="35" t="n">
        <v>45993</v>
      </c>
      <c r="B508" s="2" t="s">
        <v>1163</v>
      </c>
      <c r="C508" s="2" t="s">
        <v>102</v>
      </c>
      <c r="D508" s="2" t="s">
        <v>103</v>
      </c>
      <c r="E508" s="6" t="n">
        <v>1000</v>
      </c>
      <c r="F508" s="7" t="n">
        <v>23</v>
      </c>
      <c r="G508" s="6" t="n">
        <v>35.4</v>
      </c>
      <c r="H508" s="6" t="n">
        <v>106</v>
      </c>
      <c r="I508" s="6" t="n">
        <v>814.2</v>
      </c>
      <c r="J508" s="6" t="n">
        <v>708.2</v>
      </c>
    </row>
    <row collapsed="false" customFormat="false" customHeight="false" hidden="false" ht="12.1" outlineLevel="0" r="509">
      <c r="A509" s="35" t="n">
        <v>45994</v>
      </c>
      <c r="B509" s="2" t="s">
        <v>1163</v>
      </c>
      <c r="C509" s="2" t="s">
        <v>216</v>
      </c>
      <c r="D509" s="2" t="s">
        <v>217</v>
      </c>
      <c r="E509" s="6" t="n">
        <v>0</v>
      </c>
      <c r="F509" s="7" t="n">
        <v>1</v>
      </c>
      <c r="G509" s="6" t="n">
        <v>19.11</v>
      </c>
      <c r="H509" s="6" t="n">
        <v>2</v>
      </c>
      <c r="I509" s="6" t="n">
        <v>19.11</v>
      </c>
      <c r="J509" s="6" t="n">
        <v>17.11</v>
      </c>
    </row>
    <row collapsed="false" customFormat="false" customHeight="false" hidden="false" ht="12.1" outlineLevel="0" r="510">
      <c r="A510" s="35" t="n">
        <v>45994</v>
      </c>
      <c r="B510" s="2" t="s">
        <v>1163</v>
      </c>
      <c r="C510" s="2" t="s">
        <v>240</v>
      </c>
      <c r="D510" s="2" t="s">
        <v>241</v>
      </c>
      <c r="E510" s="6" t="n">
        <v>1000</v>
      </c>
      <c r="F510" s="7" t="n">
        <v>1</v>
      </c>
      <c r="G510" s="6" t="n">
        <v>35.53</v>
      </c>
      <c r="H510" s="6" t="n">
        <v>5</v>
      </c>
      <c r="I510" s="6" t="n">
        <v>35.53</v>
      </c>
      <c r="J510" s="6" t="n">
        <v>30.53</v>
      </c>
    </row>
    <row collapsed="false" customFormat="false" customHeight="false" hidden="false" ht="12.1" outlineLevel="0" r="511">
      <c r="A511" s="35" t="n">
        <v>45994</v>
      </c>
      <c r="B511" s="2" t="s">
        <v>1163</v>
      </c>
      <c r="C511" s="2" t="s">
        <v>183</v>
      </c>
      <c r="D511" s="2" t="s">
        <v>184</v>
      </c>
      <c r="E511" s="6" t="n">
        <v>1000</v>
      </c>
      <c r="F511" s="7" t="n">
        <v>2</v>
      </c>
      <c r="G511" s="6" t="n">
        <v>19.3</v>
      </c>
      <c r="H511" s="6" t="n">
        <v>5</v>
      </c>
      <c r="I511" s="6" t="n">
        <v>38.6</v>
      </c>
      <c r="J511" s="6" t="n">
        <v>33.6</v>
      </c>
    </row>
    <row collapsed="false" customFormat="false" customHeight="false" hidden="false" ht="12.1" outlineLevel="0" r="512">
      <c r="A512" s="35" t="n">
        <v>45999</v>
      </c>
      <c r="B512" s="2" t="s">
        <v>1163</v>
      </c>
      <c r="C512" s="2" t="s">
        <v>288</v>
      </c>
      <c r="D512" s="2" t="s">
        <v>289</v>
      </c>
      <c r="E512" s="6" t="n">
        <v>860</v>
      </c>
      <c r="F512" s="7" t="n">
        <v>1</v>
      </c>
      <c r="G512" s="6" t="n">
        <v>28.95</v>
      </c>
      <c r="H512" s="6" t="n">
        <v>4</v>
      </c>
      <c r="I512" s="6" t="n">
        <v>28.95</v>
      </c>
      <c r="J512" s="6" t="n">
        <v>24.95</v>
      </c>
    </row>
    <row collapsed="false" customFormat="false" customHeight="false" hidden="false" ht="12.1" outlineLevel="0" r="513">
      <c r="A513" s="35" t="n">
        <v>46000</v>
      </c>
      <c r="B513" s="2" t="s">
        <v>1163</v>
      </c>
      <c r="C513" s="2" t="s">
        <v>228</v>
      </c>
      <c r="D513" s="2" t="s">
        <v>229</v>
      </c>
      <c r="E513" s="6" t="n">
        <v>1000</v>
      </c>
      <c r="F513" s="7" t="n">
        <v>1</v>
      </c>
      <c r="G513" s="6" t="n">
        <v>19.04</v>
      </c>
      <c r="H513" s="6" t="n">
        <v>2</v>
      </c>
      <c r="I513" s="6" t="n">
        <v>19.04</v>
      </c>
      <c r="J513" s="6" t="n">
        <v>17.04</v>
      </c>
    </row>
    <row collapsed="false" customFormat="false" customHeight="false" hidden="false" ht="12.1" outlineLevel="0" r="514">
      <c r="A514" s="35" t="n">
        <v>46002</v>
      </c>
      <c r="B514" s="2" t="s">
        <v>1163</v>
      </c>
      <c r="C514" s="2" t="s">
        <v>210</v>
      </c>
      <c r="D514" s="2" t="s">
        <v>211</v>
      </c>
      <c r="E514" s="6" t="n">
        <v>1000</v>
      </c>
      <c r="F514" s="7" t="n">
        <v>2</v>
      </c>
      <c r="G514" s="6" t="n">
        <v>17.83</v>
      </c>
      <c r="H514" s="6" t="n">
        <v>5</v>
      </c>
      <c r="I514" s="6" t="n">
        <v>35.66</v>
      </c>
      <c r="J514" s="6" t="n">
        <v>30.66</v>
      </c>
    </row>
    <row collapsed="false" customFormat="false" customHeight="false" hidden="false" ht="12.1" outlineLevel="0" r="515">
      <c r="A515" s="35" t="n">
        <v>46007</v>
      </c>
      <c r="B515" s="2" t="s">
        <v>1163</v>
      </c>
      <c r="C515" s="2" t="s">
        <v>99</v>
      </c>
      <c r="D515" s="2" t="s">
        <v>100</v>
      </c>
      <c r="E515" s="6" t="n">
        <v>1000</v>
      </c>
      <c r="F515" s="7" t="n">
        <v>14</v>
      </c>
      <c r="G515" s="6" t="n">
        <v>99.33</v>
      </c>
      <c r="H515" s="6" t="n">
        <v>181</v>
      </c>
      <c r="I515" s="6" t="n">
        <v>1390.62</v>
      </c>
      <c r="J515" s="6" t="n">
        <v>1209.62</v>
      </c>
    </row>
    <row collapsed="false" customFormat="false" customHeight="false" hidden="false" ht="12.1" outlineLevel="0" r="516">
      <c r="A516" s="35" t="n">
        <v>46008</v>
      </c>
      <c r="B516" s="2" t="s">
        <v>1163</v>
      </c>
      <c r="C516" s="2" t="s">
        <v>222</v>
      </c>
      <c r="D516" s="2" t="s">
        <v>223</v>
      </c>
      <c r="E516" s="6" t="n">
        <v>0</v>
      </c>
      <c r="F516" s="7" t="n">
        <v>1</v>
      </c>
      <c r="G516" s="6" t="n">
        <v>20.96</v>
      </c>
      <c r="H516" s="6" t="n">
        <v>3</v>
      </c>
      <c r="I516" s="6" t="n">
        <v>20.96</v>
      </c>
      <c r="J516" s="6" t="n">
        <v>17.96</v>
      </c>
    </row>
    <row collapsed="false" customFormat="false" customHeight="false" hidden="false" ht="12.1" outlineLevel="0" r="517">
      <c r="A517" s="35" t="n">
        <v>46009</v>
      </c>
      <c r="B517" s="2" t="s">
        <v>1163</v>
      </c>
      <c r="C517" s="2" t="s">
        <v>243</v>
      </c>
      <c r="D517" s="2" t="s">
        <v>244</v>
      </c>
      <c r="E517" s="6" t="n">
        <v>1000</v>
      </c>
      <c r="F517" s="7" t="n">
        <v>1</v>
      </c>
      <c r="G517" s="6" t="n">
        <v>19.21</v>
      </c>
      <c r="H517" s="6" t="n">
        <v>2</v>
      </c>
      <c r="I517" s="6" t="n">
        <v>19.21</v>
      </c>
      <c r="J517" s="6" t="n">
        <v>17.21</v>
      </c>
    </row>
    <row collapsed="false" customFormat="false" customHeight="false" hidden="false" ht="12.1" outlineLevel="0" r="518">
      <c r="A518" s="35" t="n">
        <v>46009</v>
      </c>
      <c r="B518" s="2" t="s">
        <v>1163</v>
      </c>
      <c r="C518" s="2" t="s">
        <v>285</v>
      </c>
      <c r="D518" s="2" t="s">
        <v>286</v>
      </c>
      <c r="E518" s="6" t="n">
        <v>1000</v>
      </c>
      <c r="F518" s="7" t="n">
        <v>1</v>
      </c>
      <c r="G518" s="6" t="n">
        <v>11.18</v>
      </c>
      <c r="H518" s="6" t="n">
        <v>1</v>
      </c>
      <c r="I518" s="6" t="n">
        <v>11.18</v>
      </c>
      <c r="J518" s="6" t="n">
        <v>10.18</v>
      </c>
    </row>
    <row collapsed="false" customFormat="false" customHeight="false" hidden="false" ht="12.1" outlineLevel="0" r="519">
      <c r="A519" s="35" t="n">
        <v>46011</v>
      </c>
      <c r="B519" s="2" t="s">
        <v>1163</v>
      </c>
      <c r="C519" s="2" t="s">
        <v>180</v>
      </c>
      <c r="D519" s="2" t="s">
        <v>181</v>
      </c>
      <c r="E519" s="6" t="n">
        <v>1000</v>
      </c>
      <c r="F519" s="7" t="n">
        <v>2</v>
      </c>
      <c r="G519" s="6" t="n">
        <v>18.16</v>
      </c>
      <c r="H519" s="6" t="n">
        <v>5</v>
      </c>
      <c r="I519" s="6" t="n">
        <v>36.32</v>
      </c>
      <c r="J519" s="6" t="n">
        <v>31.32</v>
      </c>
    </row>
    <row collapsed="false" customFormat="false" customHeight="false" hidden="false" ht="12.1" outlineLevel="0" r="520">
      <c r="A520" s="35" t="n">
        <v>46015</v>
      </c>
      <c r="B520" s="2" t="s">
        <v>1163</v>
      </c>
      <c r="C520" s="2" t="s">
        <v>231</v>
      </c>
      <c r="D520" s="2" t="s">
        <v>232</v>
      </c>
      <c r="E520" s="6" t="n">
        <v>0</v>
      </c>
      <c r="F520" s="7" t="n">
        <v>1</v>
      </c>
      <c r="G520" s="6" t="n">
        <v>19.48</v>
      </c>
      <c r="H520" s="6" t="n">
        <v>3</v>
      </c>
      <c r="I520" s="6" t="n">
        <v>19.48</v>
      </c>
      <c r="J520" s="6" t="n">
        <v>16.48</v>
      </c>
    </row>
    <row collapsed="false" customFormat="false" customHeight="false" hidden="false" ht="12.1" outlineLevel="0" r="521">
      <c r="A521" s="35" t="n">
        <v>46016</v>
      </c>
      <c r="B521" s="2" t="s">
        <v>1163</v>
      </c>
      <c r="C521" s="2" t="s">
        <v>213</v>
      </c>
      <c r="D521" s="2" t="s">
        <v>214</v>
      </c>
      <c r="E521" s="6" t="n">
        <v>500</v>
      </c>
      <c r="F521" s="7" t="n">
        <v>2</v>
      </c>
      <c r="G521" s="6" t="n">
        <v>16.45</v>
      </c>
      <c r="H521" s="6" t="n">
        <v>4</v>
      </c>
      <c r="I521" s="6" t="n">
        <v>32.9</v>
      </c>
      <c r="J521" s="6" t="n">
        <v>28.9</v>
      </c>
    </row>
    <row collapsed="false" customFormat="false" customHeight="false" hidden="false" ht="12.1" outlineLevel="0" r="522">
      <c r="A522" s="35" t="n">
        <v>46022</v>
      </c>
      <c r="B522" s="2" t="s">
        <v>1163</v>
      </c>
      <c r="C522" s="2" t="s">
        <v>234</v>
      </c>
      <c r="D522" s="2" t="s">
        <v>235</v>
      </c>
      <c r="E522" s="6" t="n">
        <v>1000</v>
      </c>
      <c r="F522" s="7" t="n">
        <v>1</v>
      </c>
      <c r="G522" s="6" t="n">
        <v>19.2</v>
      </c>
      <c r="H522" s="6" t="n">
        <v>2</v>
      </c>
      <c r="I522" s="6" t="n">
        <v>19.2</v>
      </c>
      <c r="J522" s="6" t="n">
        <v>17.2</v>
      </c>
    </row>
    <row collapsed="false" customFormat="false" customHeight="false" hidden="false" ht="12.1" outlineLevel="0" r="523">
      <c r="A523" s="35" t="n">
        <v>46024</v>
      </c>
      <c r="B523" s="2" t="s">
        <v>1163</v>
      </c>
      <c r="C523" s="2" t="s">
        <v>216</v>
      </c>
      <c r="D523" s="2" t="s">
        <v>217</v>
      </c>
      <c r="E523" s="6" t="n">
        <v>0</v>
      </c>
      <c r="F523" s="7" t="n">
        <v>1</v>
      </c>
      <c r="G523" s="6" t="n">
        <v>19.11</v>
      </c>
      <c r="H523" s="6" t="n">
        <v>2</v>
      </c>
      <c r="I523" s="6" t="n">
        <v>19.11</v>
      </c>
      <c r="J523" s="6" t="n">
        <v>17.11</v>
      </c>
    </row>
    <row collapsed="false" customFormat="false" customHeight="false" hidden="false" ht="12.1" outlineLevel="0" r="524">
      <c r="A524" s="35" t="n">
        <v>46025</v>
      </c>
      <c r="B524" s="2" t="s">
        <v>1163</v>
      </c>
      <c r="C524" s="2" t="s">
        <v>183</v>
      </c>
      <c r="D524" s="2" t="s">
        <v>184</v>
      </c>
      <c r="E524" s="6" t="n">
        <v>1000</v>
      </c>
      <c r="F524" s="7" t="n">
        <v>2</v>
      </c>
      <c r="G524" s="6" t="n">
        <v>19.3</v>
      </c>
      <c r="H524" s="6" t="n">
        <v>5</v>
      </c>
      <c r="I524" s="6" t="n">
        <v>38.6</v>
      </c>
      <c r="J524" s="6" t="n">
        <v>33.6</v>
      </c>
    </row>
    <row collapsed="false" customFormat="false" customHeight="false" hidden="false" ht="12.1" outlineLevel="0" r="525">
      <c r="A525" s="35" t="n">
        <v>46026</v>
      </c>
      <c r="B525" s="2" t="s">
        <v>1163</v>
      </c>
      <c r="C525" s="2" t="s">
        <v>273</v>
      </c>
      <c r="D525" s="2" t="s">
        <v>274</v>
      </c>
      <c r="E525" s="6" t="n">
        <v>1000</v>
      </c>
      <c r="F525" s="7" t="n">
        <v>1</v>
      </c>
      <c r="G525" s="6" t="n">
        <v>44.88</v>
      </c>
      <c r="H525" s="6" t="n">
        <v>6</v>
      </c>
      <c r="I525" s="6" t="n">
        <v>44.88</v>
      </c>
      <c r="J525" s="6" t="n">
        <v>38.88</v>
      </c>
    </row>
    <row collapsed="false" customFormat="false" customHeight="false" hidden="false" ht="12.1" outlineLevel="0" r="526">
      <c r="A526" s="35" t="n">
        <v>46031</v>
      </c>
      <c r="B526" s="2" t="s">
        <v>1163</v>
      </c>
      <c r="C526" s="2" t="s">
        <v>228</v>
      </c>
      <c r="D526" s="2" t="s">
        <v>229</v>
      </c>
      <c r="E526" s="6" t="n">
        <v>1000</v>
      </c>
      <c r="F526" s="7" t="n">
        <v>1</v>
      </c>
      <c r="G526" s="6" t="n">
        <v>19.04</v>
      </c>
      <c r="H526" s="6" t="n">
        <v>2</v>
      </c>
      <c r="I526" s="6" t="n">
        <v>19.04</v>
      </c>
      <c r="J526" s="6" t="n">
        <v>17.04</v>
      </c>
    </row>
    <row collapsed="false" customFormat="false" customHeight="false" hidden="false" ht="12.1" outlineLevel="0" r="527">
      <c r="A527" s="35" t="n">
        <v>46034</v>
      </c>
      <c r="B527" s="2" t="s">
        <v>1163</v>
      </c>
      <c r="C527" s="2" t="s">
        <v>207</v>
      </c>
      <c r="D527" s="2" t="s">
        <v>208</v>
      </c>
      <c r="E527" s="6" t="n">
        <v>1000</v>
      </c>
      <c r="F527" s="7" t="n">
        <v>2</v>
      </c>
      <c r="G527" s="6" t="n">
        <v>24.93</v>
      </c>
      <c r="H527" s="6" t="n">
        <v>6</v>
      </c>
      <c r="I527" s="6" t="n">
        <v>49.86</v>
      </c>
      <c r="J527" s="6" t="n">
        <v>43.86</v>
      </c>
    </row>
    <row collapsed="false" customFormat="false" customHeight="false" hidden="false" ht="12.1" outlineLevel="0" r="528">
      <c r="A528" s="35" t="n">
        <v>46035</v>
      </c>
      <c r="B528" s="2" t="s">
        <v>1163</v>
      </c>
      <c r="C528" s="2" t="s">
        <v>294</v>
      </c>
      <c r="D528" s="2" t="s">
        <v>295</v>
      </c>
      <c r="E528" s="6" t="n">
        <v>1000</v>
      </c>
      <c r="F528" s="7" t="n">
        <v>1</v>
      </c>
      <c r="G528" s="6" t="n">
        <v>26.18</v>
      </c>
      <c r="H528" s="6" t="n">
        <v>3</v>
      </c>
      <c r="I528" s="6" t="n">
        <v>26.18</v>
      </c>
      <c r="J528" s="6" t="n">
        <v>23.18</v>
      </c>
    </row>
    <row collapsed="false" customFormat="false" customHeight="false" hidden="false" ht="12.1" outlineLevel="0" r="529">
      <c r="A529" s="35" t="n">
        <v>46036</v>
      </c>
      <c r="B529" s="2" t="s">
        <v>1163</v>
      </c>
      <c r="C529" s="2" t="s">
        <v>258</v>
      </c>
      <c r="D529" s="2" t="s">
        <v>259</v>
      </c>
      <c r="E529" s="6" t="n">
        <v>1000</v>
      </c>
      <c r="F529" s="7" t="n">
        <v>1</v>
      </c>
      <c r="G529" s="6" t="n">
        <v>50.86</v>
      </c>
      <c r="H529" s="6" t="n">
        <v>7</v>
      </c>
      <c r="I529" s="6" t="n">
        <v>50.86</v>
      </c>
      <c r="J529" s="6" t="n">
        <v>43.86</v>
      </c>
    </row>
    <row collapsed="false" customFormat="false" customHeight="false" hidden="false" ht="12.1" outlineLevel="0" r="530">
      <c r="A530" s="35" t="n">
        <v>46038</v>
      </c>
      <c r="B530" s="2" t="s">
        <v>1163</v>
      </c>
      <c r="C530" s="2" t="s">
        <v>222</v>
      </c>
      <c r="D530" s="2" t="s">
        <v>223</v>
      </c>
      <c r="E530" s="6" t="n">
        <v>0</v>
      </c>
      <c r="F530" s="7" t="n">
        <v>1</v>
      </c>
      <c r="G530" s="6" t="n">
        <v>20.96</v>
      </c>
      <c r="H530" s="6" t="n">
        <v>3</v>
      </c>
      <c r="I530" s="6" t="n">
        <v>20.96</v>
      </c>
      <c r="J530" s="6" t="n">
        <v>17.96</v>
      </c>
    </row>
    <row collapsed="false" customFormat="false" customHeight="false" hidden="false" ht="12.1" outlineLevel="0" r="531">
      <c r="A531" s="35" t="n">
        <v>46039</v>
      </c>
      <c r="B531" s="2" t="s">
        <v>1163</v>
      </c>
      <c r="C531" s="2" t="s">
        <v>285</v>
      </c>
      <c r="D531" s="2" t="s">
        <v>286</v>
      </c>
      <c r="E531" s="6" t="n">
        <v>1000</v>
      </c>
      <c r="F531" s="7" t="n">
        <v>1</v>
      </c>
      <c r="G531" s="6" t="n">
        <v>11.18</v>
      </c>
      <c r="H531" s="6" t="n">
        <v>1</v>
      </c>
      <c r="I531" s="6" t="n">
        <v>11.18</v>
      </c>
      <c r="J531" s="6" t="n">
        <v>10.18</v>
      </c>
    </row>
    <row collapsed="false" customFormat="false" customHeight="false" hidden="false" ht="12.1" outlineLevel="0" r="532">
      <c r="A532" s="35" t="n">
        <v>46040</v>
      </c>
      <c r="B532" s="2" t="s">
        <v>1163</v>
      </c>
      <c r="C532" s="2" t="s">
        <v>201</v>
      </c>
      <c r="D532" s="2" t="s">
        <v>202</v>
      </c>
      <c r="E532" s="6" t="n">
        <v>1000</v>
      </c>
      <c r="F532" s="7" t="n">
        <v>2</v>
      </c>
      <c r="G532" s="6" t="n">
        <v>54.35</v>
      </c>
      <c r="H532" s="6" t="n">
        <v>14</v>
      </c>
      <c r="I532" s="6" t="n">
        <v>108.7</v>
      </c>
      <c r="J532" s="6" t="n">
        <v>94.7</v>
      </c>
    </row>
    <row collapsed="false" customFormat="false" customHeight="false" hidden="false" ht="12.1" outlineLevel="0" r="533">
      <c r="A533" s="35" t="n">
        <v>46040</v>
      </c>
      <c r="B533" s="2" t="s">
        <v>1163</v>
      </c>
      <c r="C533" s="2" t="s">
        <v>243</v>
      </c>
      <c r="D533" s="2" t="s">
        <v>244</v>
      </c>
      <c r="E533" s="6" t="n">
        <v>1000</v>
      </c>
      <c r="F533" s="7" t="n">
        <v>1</v>
      </c>
      <c r="G533" s="6" t="n">
        <v>19.21</v>
      </c>
      <c r="H533" s="6" t="n">
        <v>2</v>
      </c>
      <c r="I533" s="6" t="n">
        <v>19.21</v>
      </c>
      <c r="J533" s="6" t="n">
        <v>17.21</v>
      </c>
    </row>
    <row collapsed="false" customFormat="false" customHeight="false" hidden="false" ht="12.1" outlineLevel="0" r="534">
      <c r="A534" s="35" t="n">
        <v>46041</v>
      </c>
      <c r="B534" s="2" t="s">
        <v>1163</v>
      </c>
      <c r="C534" s="2" t="s">
        <v>308</v>
      </c>
      <c r="D534" s="2" t="s">
        <v>309</v>
      </c>
      <c r="E534" s="6" t="n">
        <v>340</v>
      </c>
      <c r="F534" s="7" t="n">
        <v>1</v>
      </c>
      <c r="G534" s="6" t="n">
        <v>11.66</v>
      </c>
      <c r="H534" s="6" t="n">
        <v>2</v>
      </c>
      <c r="I534" s="6" t="n">
        <v>11.66</v>
      </c>
      <c r="J534" s="6" t="n">
        <v>9.66</v>
      </c>
    </row>
    <row collapsed="false" customFormat="false" customHeight="false" hidden="false" ht="12.1" outlineLevel="0" r="535">
      <c r="A535" s="35" t="n">
        <v>46041</v>
      </c>
      <c r="B535" s="2" t="s">
        <v>1163</v>
      </c>
      <c r="C535" s="2" t="s">
        <v>180</v>
      </c>
      <c r="D535" s="2" t="s">
        <v>181</v>
      </c>
      <c r="E535" s="6" t="n">
        <v>1000</v>
      </c>
      <c r="F535" s="7" t="n">
        <v>2</v>
      </c>
      <c r="G535" s="6" t="n">
        <v>18.16</v>
      </c>
      <c r="H535" s="6" t="n">
        <v>5</v>
      </c>
      <c r="I535" s="6" t="n">
        <v>36.32</v>
      </c>
      <c r="J535" s="6" t="n">
        <v>31.32</v>
      </c>
    </row>
    <row collapsed="false" customFormat="false" customHeight="false" hidden="false" ht="12.1" outlineLevel="0" r="536">
      <c r="A536" s="35" t="n">
        <v>46042</v>
      </c>
      <c r="B536" s="2" t="s">
        <v>1163</v>
      </c>
      <c r="C536" s="2" t="s">
        <v>270</v>
      </c>
      <c r="D536" s="2" t="s">
        <v>271</v>
      </c>
      <c r="E536" s="6" t="n">
        <v>1000</v>
      </c>
      <c r="F536" s="7" t="n">
        <v>1</v>
      </c>
      <c r="G536" s="6" t="n">
        <v>43.38</v>
      </c>
      <c r="H536" s="6" t="n">
        <v>6</v>
      </c>
      <c r="I536" s="6" t="n">
        <v>43.38</v>
      </c>
      <c r="J536" s="6" t="n">
        <v>37.38</v>
      </c>
    </row>
    <row collapsed="false" customFormat="false" customHeight="false" hidden="false" ht="12.1" outlineLevel="0" r="537">
      <c r="A537" s="35" t="n">
        <v>46042</v>
      </c>
      <c r="B537" s="2" t="s">
        <v>1163</v>
      </c>
      <c r="C537" s="2" t="s">
        <v>237</v>
      </c>
      <c r="D537" s="2" t="s">
        <v>238</v>
      </c>
      <c r="E537" s="6" t="n">
        <v>1000</v>
      </c>
      <c r="F537" s="7" t="n">
        <v>1</v>
      </c>
      <c r="G537" s="6" t="n">
        <v>56.52</v>
      </c>
      <c r="H537" s="6" t="n">
        <v>7</v>
      </c>
      <c r="I537" s="6" t="n">
        <v>56.52</v>
      </c>
      <c r="J537" s="6" t="n">
        <v>49.52</v>
      </c>
    </row>
    <row collapsed="false" customFormat="false" customHeight="false" hidden="false" ht="12.1" outlineLevel="0" r="538">
      <c r="A538" s="35" t="n">
        <v>46045</v>
      </c>
      <c r="B538" s="2" t="s">
        <v>1163</v>
      </c>
      <c r="C538" s="2" t="s">
        <v>231</v>
      </c>
      <c r="D538" s="2" t="s">
        <v>232</v>
      </c>
      <c r="E538" s="6" t="n">
        <v>0</v>
      </c>
      <c r="F538" s="7" t="n">
        <v>1</v>
      </c>
      <c r="G538" s="6" t="n">
        <v>19.48</v>
      </c>
      <c r="H538" s="6" t="n">
        <v>3</v>
      </c>
      <c r="I538" s="6" t="n">
        <v>19.48</v>
      </c>
      <c r="J538" s="6" t="n">
        <v>16.48</v>
      </c>
    </row>
    <row collapsed="false" customFormat="false" customHeight="false" hidden="false" ht="12.1" outlineLevel="0" r="539">
      <c r="A539" s="35" t="n">
        <v>46048</v>
      </c>
      <c r="B539" s="2" t="s">
        <v>1163</v>
      </c>
      <c r="C539" s="2" t="s">
        <v>291</v>
      </c>
      <c r="D539" s="2" t="s">
        <v>292</v>
      </c>
      <c r="E539" s="6" t="n">
        <v>1000</v>
      </c>
      <c r="F539" s="7" t="n">
        <v>1</v>
      </c>
      <c r="G539" s="6" t="n">
        <v>28.22</v>
      </c>
      <c r="H539" s="6" t="n">
        <v>4</v>
      </c>
      <c r="I539" s="6" t="n">
        <v>28.22</v>
      </c>
      <c r="J539" s="6" t="n">
        <v>24.22</v>
      </c>
    </row>
    <row collapsed="false" customFormat="false" customHeight="false" hidden="false" ht="12.1" outlineLevel="0" r="540">
      <c r="A540" s="35" t="n">
        <v>46048</v>
      </c>
      <c r="B540" s="2" t="s">
        <v>1163</v>
      </c>
      <c r="C540" s="2" t="s">
        <v>189</v>
      </c>
      <c r="D540" s="2" t="s">
        <v>190</v>
      </c>
      <c r="E540" s="6" t="n">
        <v>1000</v>
      </c>
      <c r="F540" s="7" t="n">
        <v>2</v>
      </c>
      <c r="G540" s="6" t="n">
        <v>29.17</v>
      </c>
      <c r="H540" s="6" t="n">
        <v>8</v>
      </c>
      <c r="I540" s="6" t="n">
        <v>58.34</v>
      </c>
      <c r="J540" s="6" t="n">
        <v>50.34</v>
      </c>
    </row>
    <row collapsed="false" customFormat="false" customHeight="false" hidden="false" ht="12.1" outlineLevel="0" r="541">
      <c r="A541" s="35" t="n">
        <v>46049</v>
      </c>
      <c r="B541" s="2" t="s">
        <v>1163</v>
      </c>
      <c r="C541" s="2" t="s">
        <v>162</v>
      </c>
      <c r="D541" s="2" t="s">
        <v>163</v>
      </c>
      <c r="E541" s="6" t="n">
        <v>1000</v>
      </c>
      <c r="F541" s="7" t="n">
        <v>4</v>
      </c>
      <c r="G541" s="6" t="n">
        <v>34.41</v>
      </c>
      <c r="H541" s="6" t="n">
        <v>18</v>
      </c>
      <c r="I541" s="6" t="n">
        <v>137.64</v>
      </c>
      <c r="J541" s="6" t="n">
        <v>119.64</v>
      </c>
    </row>
    <row collapsed="false" customFormat="false" customHeight="false" hidden="false" ht="12.1" outlineLevel="0" r="542">
      <c r="A542" s="35" t="n">
        <v>46049</v>
      </c>
      <c r="B542" s="2" t="s">
        <v>1163</v>
      </c>
      <c r="C542" s="2" t="s">
        <v>246</v>
      </c>
      <c r="D542" s="2" t="s">
        <v>247</v>
      </c>
      <c r="E542" s="6" t="n">
        <v>1000</v>
      </c>
      <c r="F542" s="7" t="n">
        <v>1</v>
      </c>
      <c r="G542" s="6" t="n">
        <v>52.59</v>
      </c>
      <c r="H542" s="6" t="n">
        <v>7</v>
      </c>
      <c r="I542" s="6" t="n">
        <v>52.59</v>
      </c>
      <c r="J542" s="6" t="n">
        <v>45.59</v>
      </c>
    </row>
    <row collapsed="false" customFormat="false" customHeight="false" hidden="false" ht="12.1" outlineLevel="0" r="543">
      <c r="A543" s="35" t="n">
        <v>46049</v>
      </c>
      <c r="B543" s="2" t="s">
        <v>1163</v>
      </c>
      <c r="C543" s="2" t="s">
        <v>95</v>
      </c>
      <c r="D543" s="2" t="s">
        <v>97</v>
      </c>
      <c r="E543" s="6" t="n">
        <v>1000</v>
      </c>
      <c r="F543" s="7" t="n">
        <v>31</v>
      </c>
      <c r="G543" s="6" t="n">
        <v>30.42</v>
      </c>
      <c r="H543" s="6" t="n">
        <v>123</v>
      </c>
      <c r="I543" s="6" t="n">
        <v>943.02</v>
      </c>
      <c r="J543" s="6" t="n">
        <v>820.02</v>
      </c>
    </row>
    <row collapsed="false" customFormat="false" customHeight="false" hidden="false" ht="12.1" outlineLevel="0" r="544">
      <c r="A544" s="35" t="n">
        <v>46051</v>
      </c>
      <c r="B544" s="2" t="s">
        <v>1163</v>
      </c>
      <c r="C544" s="2" t="s">
        <v>165</v>
      </c>
      <c r="D544" s="2" t="s">
        <v>166</v>
      </c>
      <c r="E544" s="6" t="n">
        <v>1000</v>
      </c>
      <c r="F544" s="7" t="n">
        <v>3</v>
      </c>
      <c r="G544" s="6" t="n">
        <v>59.84</v>
      </c>
      <c r="H544" s="6" t="n">
        <v>23</v>
      </c>
      <c r="I544" s="6" t="n">
        <v>179.52</v>
      </c>
      <c r="J544" s="6" t="n">
        <v>156.52</v>
      </c>
    </row>
    <row collapsed="false" customFormat="false" customHeight="false" hidden="false" ht="12.1" outlineLevel="0" r="545">
      <c r="A545" s="35" t="n">
        <v>46051</v>
      </c>
      <c r="B545" s="2" t="s">
        <v>1163</v>
      </c>
      <c r="C545" s="2" t="s">
        <v>297</v>
      </c>
      <c r="D545" s="2" t="s">
        <v>298</v>
      </c>
      <c r="E545" s="6" t="n">
        <v>1000</v>
      </c>
      <c r="F545" s="7" t="n">
        <v>1</v>
      </c>
      <c r="G545" s="6" t="n">
        <v>23.86</v>
      </c>
      <c r="H545" s="6" t="n">
        <v>3</v>
      </c>
      <c r="I545" s="6" t="n">
        <v>23.86</v>
      </c>
      <c r="J545" s="6" t="n">
        <v>20.86</v>
      </c>
    </row>
    <row collapsed="false" customFormat="false" customHeight="false" hidden="false" ht="12.1" outlineLevel="0" r="546">
      <c r="A546" s="35" t="n">
        <v>46052</v>
      </c>
      <c r="B546" s="2" t="s">
        <v>1163</v>
      </c>
      <c r="C546" s="2" t="s">
        <v>252</v>
      </c>
      <c r="D546" s="2" t="s">
        <v>253</v>
      </c>
      <c r="E546" s="6" t="n">
        <v>1000</v>
      </c>
      <c r="F546" s="7" t="n">
        <v>1</v>
      </c>
      <c r="G546" s="6" t="n">
        <v>53.1</v>
      </c>
      <c r="H546" s="6" t="n">
        <v>7</v>
      </c>
      <c r="I546" s="6" t="n">
        <v>53.1</v>
      </c>
      <c r="J546" s="6" t="n">
        <v>46.1</v>
      </c>
    </row>
    <row collapsed="false" customFormat="false" customHeight="false" hidden="false" ht="12.1" outlineLevel="0" r="547">
      <c r="A547" s="35" t="n">
        <v>46053</v>
      </c>
      <c r="B547" s="2" t="s">
        <v>1163</v>
      </c>
      <c r="C547" s="2" t="s">
        <v>234</v>
      </c>
      <c r="D547" s="2" t="s">
        <v>235</v>
      </c>
      <c r="E547" s="6" t="n">
        <v>1000</v>
      </c>
      <c r="F547" s="7" t="n">
        <v>1</v>
      </c>
      <c r="G547" s="6" t="n">
        <v>19.2</v>
      </c>
      <c r="H547" s="6" t="n">
        <v>2</v>
      </c>
      <c r="I547" s="6" t="n">
        <v>19.2</v>
      </c>
      <c r="J547" s="6" t="n">
        <v>17.2</v>
      </c>
    </row>
    <row collapsed="false" customFormat="false" customHeight="false" hidden="false" ht="12.1" outlineLevel="0" r="548">
      <c r="A548" s="35" t="n">
        <v>46054</v>
      </c>
      <c r="B548" s="2" t="s">
        <v>1163</v>
      </c>
      <c r="C548" s="2" t="s">
        <v>216</v>
      </c>
      <c r="D548" s="2" t="s">
        <v>217</v>
      </c>
      <c r="E548" s="6" t="n">
        <v>0</v>
      </c>
      <c r="F548" s="7" t="n">
        <v>1</v>
      </c>
      <c r="G548" s="6" t="n">
        <v>19.11</v>
      </c>
      <c r="H548" s="6" t="n">
        <v>2</v>
      </c>
      <c r="I548" s="6" t="n">
        <v>19.11</v>
      </c>
      <c r="J548" s="6" t="n">
        <v>17.11</v>
      </c>
    </row>
    <row collapsed="false" customFormat="false" customHeight="false" hidden="false" ht="12.1" outlineLevel="0" r="549">
      <c r="A549" s="35" t="n">
        <v>46056</v>
      </c>
      <c r="B549" s="2" t="s">
        <v>1163</v>
      </c>
      <c r="C549" s="2" t="s">
        <v>183</v>
      </c>
      <c r="D549" s="2" t="s">
        <v>184</v>
      </c>
      <c r="E549" s="6" t="n">
        <v>1000</v>
      </c>
      <c r="F549" s="7" t="n">
        <v>2</v>
      </c>
      <c r="G549" s="6" t="n">
        <v>19.3</v>
      </c>
      <c r="H549" s="6" t="n">
        <v>5</v>
      </c>
      <c r="I549" s="6" t="n">
        <v>38.6</v>
      </c>
      <c r="J549" s="6" t="n">
        <v>33.6</v>
      </c>
    </row>
    <row collapsed="false" customFormat="false" customHeight="false" hidden="false" ht="12.1" outlineLevel="0" r="550">
      <c r="A550" s="35" t="n">
        <v>46056</v>
      </c>
      <c r="B550" s="2" t="s">
        <v>1163</v>
      </c>
      <c r="C550" s="2" t="s">
        <v>171</v>
      </c>
      <c r="D550" s="2" t="s">
        <v>172</v>
      </c>
      <c r="E550" s="6" t="n">
        <v>1000</v>
      </c>
      <c r="F550" s="7" t="n">
        <v>2</v>
      </c>
      <c r="G550" s="6" t="n">
        <v>20.63</v>
      </c>
      <c r="H550" s="6" t="n">
        <v>5</v>
      </c>
      <c r="I550" s="6" t="n">
        <v>41.26</v>
      </c>
      <c r="J550" s="6" t="n">
        <v>36.26</v>
      </c>
    </row>
    <row collapsed="false" customFormat="false" customHeight="false" hidden="false" ht="12.1" outlineLevel="0" r="551">
      <c r="A551" s="35" t="n">
        <v>46062</v>
      </c>
      <c r="B551" s="2" t="s">
        <v>1163</v>
      </c>
      <c r="C551" s="2" t="s">
        <v>228</v>
      </c>
      <c r="D551" s="2" t="s">
        <v>229</v>
      </c>
      <c r="E551" s="6" t="n">
        <v>1000</v>
      </c>
      <c r="F551" s="7" t="n">
        <v>1</v>
      </c>
      <c r="G551" s="6" t="n">
        <v>19.04</v>
      </c>
      <c r="H551" s="6" t="n">
        <v>2</v>
      </c>
      <c r="I551" s="6" t="n">
        <v>19.04</v>
      </c>
      <c r="J551" s="6" t="n">
        <v>17.04</v>
      </c>
    </row>
    <row collapsed="false" customFormat="false" customHeight="false" hidden="false" ht="12.1" outlineLevel="0" r="552">
      <c r="A552" s="35" t="n">
        <v>46063</v>
      </c>
      <c r="B552" s="2" t="s">
        <v>1163</v>
      </c>
      <c r="C552" s="2" t="s">
        <v>108</v>
      </c>
      <c r="D552" s="2" t="s">
        <v>109</v>
      </c>
      <c r="E552" s="6" t="n">
        <v>1000</v>
      </c>
      <c r="F552" s="7" t="n">
        <v>19</v>
      </c>
      <c r="G552" s="6" t="n">
        <v>34.9</v>
      </c>
      <c r="H552" s="6" t="n">
        <v>86</v>
      </c>
      <c r="I552" s="6" t="n">
        <v>663.1</v>
      </c>
      <c r="J552" s="6" t="n">
        <v>577.1</v>
      </c>
    </row>
    <row collapsed="false" customFormat="false" customHeight="false" hidden="false" ht="12.1" outlineLevel="0" r="553">
      <c r="A553" s="35" t="n">
        <v>46065</v>
      </c>
      <c r="B553" s="2" t="s">
        <v>1163</v>
      </c>
      <c r="C553" s="2" t="s">
        <v>168</v>
      </c>
      <c r="D553" s="2" t="s">
        <v>169</v>
      </c>
      <c r="E553" s="6" t="n">
        <v>1000</v>
      </c>
      <c r="F553" s="7" t="n">
        <v>3</v>
      </c>
      <c r="G553" s="6" t="n">
        <v>51.86</v>
      </c>
      <c r="H553" s="6" t="n">
        <v>20</v>
      </c>
      <c r="I553" s="6" t="n">
        <v>155.58</v>
      </c>
      <c r="J553" s="6" t="n">
        <v>135.58</v>
      </c>
    </row>
    <row collapsed="false" customFormat="false" customHeight="false" hidden="false" ht="12.1" outlineLevel="0" r="554">
      <c r="A554" s="35" t="n">
        <v>46065</v>
      </c>
      <c r="B554" s="2" t="s">
        <v>1163</v>
      </c>
      <c r="C554" s="2" t="s">
        <v>249</v>
      </c>
      <c r="D554" s="2" t="s">
        <v>250</v>
      </c>
      <c r="E554" s="6" t="n">
        <v>1000</v>
      </c>
      <c r="F554" s="7" t="n">
        <v>1</v>
      </c>
      <c r="G554" s="6" t="n">
        <v>51.61</v>
      </c>
      <c r="H554" s="6" t="n">
        <v>7</v>
      </c>
      <c r="I554" s="6" t="n">
        <v>51.61</v>
      </c>
      <c r="J554" s="6" t="n">
        <v>44.61</v>
      </c>
    </row>
    <row collapsed="false" customFormat="false" customHeight="false" hidden="false" ht="12.1" outlineLevel="0" r="555">
      <c r="A555" s="35" t="n">
        <v>46068</v>
      </c>
      <c r="B555" s="2" t="s">
        <v>1163</v>
      </c>
      <c r="C555" s="2" t="s">
        <v>222</v>
      </c>
      <c r="D555" s="2" t="s">
        <v>223</v>
      </c>
      <c r="E555" s="6" t="n">
        <v>0</v>
      </c>
      <c r="F555" s="7" t="n">
        <v>1</v>
      </c>
      <c r="G555" s="6" t="n">
        <v>20.96</v>
      </c>
      <c r="H555" s="6" t="n">
        <v>3</v>
      </c>
      <c r="I555" s="6" t="n">
        <v>20.96</v>
      </c>
      <c r="J555" s="6" t="n">
        <v>17.96</v>
      </c>
    </row>
    <row collapsed="false" customFormat="false" customHeight="false" hidden="false" ht="12.1" outlineLevel="0" r="556">
      <c r="A556" s="35" t="n">
        <v>46069</v>
      </c>
      <c r="B556" s="2" t="s">
        <v>1163</v>
      </c>
      <c r="C556" s="2" t="s">
        <v>285</v>
      </c>
      <c r="D556" s="2" t="s">
        <v>286</v>
      </c>
      <c r="E556" s="6" t="n">
        <v>1000</v>
      </c>
      <c r="F556" s="7" t="n">
        <v>1</v>
      </c>
      <c r="G556" s="6" t="n">
        <v>11.18</v>
      </c>
      <c r="H556" s="6" t="n">
        <v>1</v>
      </c>
      <c r="I556" s="6" t="n">
        <v>11.18</v>
      </c>
      <c r="J556" s="6" t="n">
        <v>10.18</v>
      </c>
    </row>
    <row collapsed="false" customFormat="false" customHeight="false" hidden="false" ht="12.1" outlineLevel="0" r="557">
      <c r="A557" s="35" t="n">
        <v>46071</v>
      </c>
      <c r="B557" s="2" t="s">
        <v>1163</v>
      </c>
      <c r="C557" s="2" t="s">
        <v>311</v>
      </c>
      <c r="D557" s="2" t="s">
        <v>312</v>
      </c>
      <c r="E557" s="6" t="n">
        <v>375</v>
      </c>
      <c r="F557" s="7" t="n">
        <v>1</v>
      </c>
      <c r="G557" s="6" t="n">
        <v>6.5</v>
      </c>
      <c r="H557" s="6" t="n">
        <v>1</v>
      </c>
      <c r="I557" s="6" t="n">
        <v>6.5</v>
      </c>
      <c r="J557" s="6" t="n">
        <v>5.5</v>
      </c>
    </row>
    <row collapsed="false" customFormat="false" customHeight="false" hidden="false" ht="12.1" outlineLevel="0" r="558">
      <c r="A558" s="35" t="n">
        <v>46071</v>
      </c>
      <c r="B558" s="2" t="s">
        <v>1163</v>
      </c>
      <c r="C558" s="2" t="s">
        <v>180</v>
      </c>
      <c r="D558" s="2" t="s">
        <v>181</v>
      </c>
      <c r="E558" s="6" t="n">
        <v>1000</v>
      </c>
      <c r="F558" s="7" t="n">
        <v>2</v>
      </c>
      <c r="G558" s="6" t="n">
        <v>18.16</v>
      </c>
      <c r="H558" s="6" t="n">
        <v>5</v>
      </c>
      <c r="I558" s="6" t="n">
        <v>36.32</v>
      </c>
      <c r="J558" s="6" t="n">
        <v>31.32</v>
      </c>
    </row>
    <row collapsed="false" customFormat="false" customHeight="false" hidden="false" ht="12.1" outlineLevel="0" r="559">
      <c r="A559" s="35" t="n">
        <v>46071</v>
      </c>
      <c r="B559" s="2" t="s">
        <v>1163</v>
      </c>
      <c r="C559" s="2" t="s">
        <v>243</v>
      </c>
      <c r="D559" s="2" t="s">
        <v>244</v>
      </c>
      <c r="E559" s="6" t="n">
        <v>1000</v>
      </c>
      <c r="F559" s="7" t="n">
        <v>1</v>
      </c>
      <c r="G559" s="6" t="n">
        <v>19.21</v>
      </c>
      <c r="H559" s="6" t="n">
        <v>2</v>
      </c>
      <c r="I559" s="6" t="n">
        <v>19.21</v>
      </c>
      <c r="J559" s="6" t="n">
        <v>17.21</v>
      </c>
    </row>
    <row collapsed="false" customFormat="false" customHeight="false" hidden="false" ht="12.1" outlineLevel="0" r="560">
      <c r="A560" s="35" t="n">
        <v>46072</v>
      </c>
      <c r="B560" s="2" t="s">
        <v>1163</v>
      </c>
      <c r="C560" s="2" t="s">
        <v>195</v>
      </c>
      <c r="D560" s="2" t="s">
        <v>196</v>
      </c>
      <c r="E560" s="6" t="n">
        <v>1000</v>
      </c>
      <c r="F560" s="7" t="n">
        <v>2</v>
      </c>
      <c r="G560" s="6" t="n">
        <v>44.88</v>
      </c>
      <c r="H560" s="6" t="n">
        <v>12</v>
      </c>
      <c r="I560" s="6" t="n">
        <v>89.76</v>
      </c>
      <c r="J560" s="6" t="n">
        <v>77.76</v>
      </c>
    </row>
    <row collapsed="false" customFormat="false" customHeight="false" hidden="false" ht="12.1" outlineLevel="0" r="561">
      <c r="A561" s="35" t="n">
        <v>46075</v>
      </c>
      <c r="B561" s="2" t="s">
        <v>1163</v>
      </c>
      <c r="C561" s="2" t="s">
        <v>231</v>
      </c>
      <c r="D561" s="2" t="s">
        <v>232</v>
      </c>
      <c r="E561" s="6" t="n">
        <v>0</v>
      </c>
      <c r="F561" s="7" t="n">
        <v>1</v>
      </c>
      <c r="G561" s="6" t="n">
        <v>19.48</v>
      </c>
      <c r="H561" s="6" t="n">
        <v>3</v>
      </c>
      <c r="I561" s="6" t="n">
        <v>19.48</v>
      </c>
      <c r="J561" s="6" t="n">
        <v>16.48</v>
      </c>
    </row>
    <row collapsed="false" customFormat="false" customHeight="false" hidden="false" ht="12.1" outlineLevel="0" r="562">
      <c r="A562" s="35" t="n">
        <v>46076</v>
      </c>
      <c r="B562" s="2" t="s">
        <v>1163</v>
      </c>
      <c r="C562" s="2" t="s">
        <v>174</v>
      </c>
      <c r="D562" s="2" t="s">
        <v>175</v>
      </c>
      <c r="E562" s="6" t="n">
        <v>1000</v>
      </c>
      <c r="F562" s="7" t="n">
        <v>3</v>
      </c>
      <c r="G562" s="6" t="n">
        <v>24.93</v>
      </c>
      <c r="H562" s="6" t="n">
        <v>10</v>
      </c>
      <c r="I562" s="6" t="n">
        <v>74.79</v>
      </c>
      <c r="J562" s="6" t="n">
        <v>64.79</v>
      </c>
    </row>
    <row collapsed="false" customFormat="false" customHeight="false" hidden="false" ht="12.1" outlineLevel="0" r="563">
      <c r="A563" s="35" t="n">
        <v>46079</v>
      </c>
      <c r="B563" s="2" t="s">
        <v>1163</v>
      </c>
      <c r="C563" s="2" t="s">
        <v>276</v>
      </c>
      <c r="D563" s="2" t="s">
        <v>277</v>
      </c>
      <c r="E563" s="6" t="n">
        <v>1000</v>
      </c>
      <c r="F563" s="7" t="n">
        <v>1</v>
      </c>
      <c r="G563" s="6" t="n">
        <v>24.81</v>
      </c>
      <c r="H563" s="6" t="n">
        <v>3</v>
      </c>
      <c r="I563" s="6" t="n">
        <v>24.81</v>
      </c>
      <c r="J563" s="6" t="n">
        <v>21.81</v>
      </c>
    </row>
    <row collapsed="false" customFormat="false" customHeight="false" hidden="false" ht="12.1" outlineLevel="0" r="564">
      <c r="A564" s="35" t="n">
        <v>46082</v>
      </c>
      <c r="B564" s="2" t="s">
        <v>1163</v>
      </c>
      <c r="C564" s="2" t="s">
        <v>300</v>
      </c>
      <c r="D564" s="2" t="s">
        <v>301</v>
      </c>
      <c r="E564" s="6" t="n">
        <v>1000</v>
      </c>
      <c r="F564" s="7" t="n">
        <v>1</v>
      </c>
      <c r="G564" s="6" t="n">
        <v>25.68</v>
      </c>
      <c r="H564" s="6" t="n">
        <v>3</v>
      </c>
      <c r="I564" s="6" t="n">
        <v>25.68</v>
      </c>
      <c r="J564" s="6" t="n">
        <v>22.68</v>
      </c>
    </row>
    <row collapsed="false" customFormat="false" customHeight="false" hidden="false" ht="12.1" outlineLevel="0" r="565">
      <c r="A565" s="35" t="n">
        <v>46082</v>
      </c>
      <c r="B565" s="2" t="s">
        <v>1163</v>
      </c>
      <c r="C565" s="2" t="s">
        <v>192</v>
      </c>
      <c r="D565" s="2" t="s">
        <v>193</v>
      </c>
      <c r="E565" s="6" t="n">
        <v>1000</v>
      </c>
      <c r="F565" s="7" t="n">
        <v>2</v>
      </c>
      <c r="G565" s="6" t="n">
        <v>19.95</v>
      </c>
      <c r="H565" s="6" t="n">
        <v>5</v>
      </c>
      <c r="I565" s="6" t="n">
        <v>39.9</v>
      </c>
      <c r="J565" s="6" t="n">
        <v>34.9</v>
      </c>
    </row>
    <row collapsed="false" customFormat="false" customHeight="false" hidden="false" ht="12.1" outlineLevel="0" r="566">
      <c r="A566" s="35" t="n">
        <v>46083</v>
      </c>
      <c r="B566" s="2" t="s">
        <v>1163</v>
      </c>
      <c r="C566" s="2" t="s">
        <v>264</v>
      </c>
      <c r="D566" s="2" t="s">
        <v>265</v>
      </c>
      <c r="E566" s="6" t="n">
        <v>1000</v>
      </c>
      <c r="F566" s="7" t="n">
        <v>1</v>
      </c>
      <c r="G566" s="6" t="n">
        <v>29.17</v>
      </c>
      <c r="H566" s="6" t="n">
        <v>4</v>
      </c>
      <c r="I566" s="6" t="n">
        <v>29.17</v>
      </c>
      <c r="J566" s="6" t="n">
        <v>25.17</v>
      </c>
    </row>
    <row collapsed="false" customFormat="false" customHeight="false" hidden="false" ht="12.1" outlineLevel="0" r="567">
      <c r="A567" s="35" t="n">
        <v>46084</v>
      </c>
      <c r="B567" s="2" t="s">
        <v>1163</v>
      </c>
      <c r="C567" s="2" t="s">
        <v>216</v>
      </c>
      <c r="D567" s="2" t="s">
        <v>217</v>
      </c>
      <c r="E567" s="6" t="n">
        <v>0</v>
      </c>
      <c r="F567" s="7" t="n">
        <v>1</v>
      </c>
      <c r="G567" s="6" t="n">
        <v>19.11</v>
      </c>
      <c r="H567" s="6" t="n">
        <v>2</v>
      </c>
      <c r="I567" s="6" t="n">
        <v>19.11</v>
      </c>
      <c r="J567" s="6" t="n">
        <v>17.11</v>
      </c>
    </row>
    <row collapsed="false" customFormat="false" customHeight="false" hidden="false" ht="12.1" outlineLevel="0" r="568">
      <c r="A568" s="35" t="n">
        <v>46084</v>
      </c>
      <c r="B568" s="2" t="s">
        <v>1163</v>
      </c>
      <c r="C568" s="2" t="s">
        <v>234</v>
      </c>
      <c r="D568" s="2" t="s">
        <v>235</v>
      </c>
      <c r="E568" s="6" t="n">
        <v>1000</v>
      </c>
      <c r="F568" s="7" t="n">
        <v>1</v>
      </c>
      <c r="G568" s="6" t="n">
        <v>19.2</v>
      </c>
      <c r="H568" s="6" t="n">
        <v>2</v>
      </c>
      <c r="I568" s="6" t="n">
        <v>19.2</v>
      </c>
      <c r="J568" s="6" t="n">
        <v>17.2</v>
      </c>
    </row>
    <row collapsed="false" customFormat="false" customHeight="false" hidden="false" ht="12.1" outlineLevel="0" r="569">
      <c r="A569" s="35" t="n">
        <v>46084</v>
      </c>
      <c r="B569" s="2" t="s">
        <v>1163</v>
      </c>
      <c r="C569" s="2" t="s">
        <v>159</v>
      </c>
      <c r="D569" s="2" t="s">
        <v>160</v>
      </c>
      <c r="E569" s="6" t="n">
        <v>1000</v>
      </c>
      <c r="F569" s="7" t="n">
        <v>4</v>
      </c>
      <c r="G569" s="6" t="n">
        <v>44.88</v>
      </c>
      <c r="H569" s="6" t="n">
        <v>23</v>
      </c>
      <c r="I569" s="6" t="n">
        <v>179.52</v>
      </c>
      <c r="J569" s="6" t="n">
        <v>156.52</v>
      </c>
    </row>
    <row collapsed="false" customFormat="false" customHeight="false" hidden="false" ht="12.1" outlineLevel="0" r="570">
      <c r="A570" s="35" t="n">
        <v>46084</v>
      </c>
      <c r="B570" s="2" t="s">
        <v>1163</v>
      </c>
      <c r="C570" s="2" t="s">
        <v>225</v>
      </c>
      <c r="D570" s="2" t="s">
        <v>226</v>
      </c>
      <c r="E570" s="6" t="n">
        <v>1000</v>
      </c>
      <c r="F570" s="7" t="n">
        <v>1</v>
      </c>
      <c r="G570" s="6" t="n">
        <v>106.71</v>
      </c>
      <c r="H570" s="6" t="n">
        <v>14</v>
      </c>
      <c r="I570" s="6" t="n">
        <v>106.71</v>
      </c>
      <c r="J570" s="6" t="n">
        <v>92.71</v>
      </c>
    </row>
    <row collapsed="false" customFormat="false" customHeight="false" hidden="false" ht="12.1" outlineLevel="0" r="571">
      <c r="A571" s="35" t="n">
        <v>46084</v>
      </c>
      <c r="B571" s="2" t="s">
        <v>1163</v>
      </c>
      <c r="C571" s="2" t="s">
        <v>303</v>
      </c>
      <c r="D571" s="2" t="s">
        <v>304</v>
      </c>
      <c r="E571" s="6" t="n">
        <v>1000</v>
      </c>
      <c r="F571" s="7" t="n">
        <v>1</v>
      </c>
      <c r="G571" s="6" t="n">
        <v>19.55</v>
      </c>
      <c r="H571" s="6" t="n">
        <v>3</v>
      </c>
      <c r="I571" s="6" t="n">
        <v>19.55</v>
      </c>
      <c r="J571" s="6" t="n">
        <v>16.55</v>
      </c>
    </row>
    <row collapsed="false" customFormat="false" customHeight="false" hidden="false" ht="12.1" outlineLevel="0" r="572">
      <c r="A572" s="35" t="n">
        <v>46084</v>
      </c>
      <c r="B572" s="2" t="s">
        <v>1163</v>
      </c>
      <c r="C572" s="2" t="s">
        <v>306</v>
      </c>
      <c r="D572" s="2" t="s">
        <v>307</v>
      </c>
      <c r="E572" s="6" t="n">
        <v>1000</v>
      </c>
      <c r="F572" s="7" t="n">
        <v>1</v>
      </c>
      <c r="G572" s="6" t="n">
        <v>19.87</v>
      </c>
      <c r="H572" s="6" t="n">
        <v>3</v>
      </c>
      <c r="I572" s="6" t="n">
        <v>19.87</v>
      </c>
      <c r="J572" s="6" t="n">
        <v>16.87</v>
      </c>
    </row>
    <row collapsed="false" customFormat="false" customHeight="false" hidden="false" ht="12.1" outlineLevel="0" r="573">
      <c r="A573" s="35" t="n">
        <v>46085</v>
      </c>
      <c r="B573" s="2" t="s">
        <v>1163</v>
      </c>
      <c r="C573" s="2" t="s">
        <v>240</v>
      </c>
      <c r="D573" s="2" t="s">
        <v>241</v>
      </c>
      <c r="E573" s="6" t="n">
        <v>1000</v>
      </c>
      <c r="F573" s="7" t="n">
        <v>1</v>
      </c>
      <c r="G573" s="6" t="n">
        <v>35.53</v>
      </c>
      <c r="H573" s="6" t="n">
        <v>5</v>
      </c>
      <c r="I573" s="6" t="n">
        <v>35.53</v>
      </c>
      <c r="J573" s="6" t="n">
        <v>30.53</v>
      </c>
    </row>
    <row collapsed="false" customFormat="false" customHeight="false" hidden="false" ht="12.1" outlineLevel="0" r="574">
      <c r="A574" s="35" t="n">
        <v>46087</v>
      </c>
      <c r="B574" s="2" t="s">
        <v>1163</v>
      </c>
      <c r="C574" s="2" t="s">
        <v>183</v>
      </c>
      <c r="D574" s="2" t="s">
        <v>184</v>
      </c>
      <c r="E574" s="6" t="n">
        <v>1000</v>
      </c>
      <c r="F574" s="7" t="n">
        <v>2</v>
      </c>
      <c r="G574" s="6" t="n">
        <v>19.3</v>
      </c>
      <c r="H574" s="6" t="n">
        <v>5</v>
      </c>
      <c r="I574" s="6" t="n">
        <v>38.6</v>
      </c>
      <c r="J574" s="6" t="n">
        <v>33.6</v>
      </c>
    </row>
    <row collapsed="false" customFormat="false" customHeight="false" hidden="false" ht="12.1" outlineLevel="0" r="575">
      <c r="A575" s="35" t="n">
        <v>46093</v>
      </c>
      <c r="B575" s="2" t="s">
        <v>1163</v>
      </c>
      <c r="C575" s="2" t="s">
        <v>228</v>
      </c>
      <c r="D575" s="2" t="s">
        <v>229</v>
      </c>
      <c r="E575" s="6" t="n">
        <v>1000</v>
      </c>
      <c r="F575" s="7" t="n">
        <v>1</v>
      </c>
      <c r="G575" s="6" t="n">
        <v>19.04</v>
      </c>
      <c r="H575" s="6" t="n">
        <v>2</v>
      </c>
      <c r="I575" s="6" t="n">
        <v>19.04</v>
      </c>
      <c r="J575" s="6" t="n">
        <v>17.04</v>
      </c>
    </row>
    <row collapsed="false" customFormat="false" customHeight="false" hidden="false" ht="12.1" outlineLevel="0" r="576">
      <c r="A576" s="35" t="n">
        <v>46093</v>
      </c>
      <c r="B576" s="2" t="s">
        <v>1163</v>
      </c>
      <c r="C576" s="2" t="s">
        <v>210</v>
      </c>
      <c r="D576" s="2" t="s">
        <v>211</v>
      </c>
      <c r="E576" s="6" t="n">
        <v>1000</v>
      </c>
      <c r="F576" s="7" t="n">
        <v>2</v>
      </c>
      <c r="G576" s="6" t="n">
        <v>17.83</v>
      </c>
      <c r="H576" s="6" t="n">
        <v>5</v>
      </c>
      <c r="I576" s="6" t="n">
        <v>35.66</v>
      </c>
      <c r="J576" s="6" t="n">
        <v>30.66</v>
      </c>
    </row>
    <row collapsed="false" customFormat="false" customHeight="false" hidden="false" ht="12.1" outlineLevel="0" r="577">
      <c r="A577" s="35" t="n">
        <v>46097</v>
      </c>
      <c r="B577" s="2" t="s">
        <v>1163</v>
      </c>
      <c r="C577" s="2" t="s">
        <v>279</v>
      </c>
      <c r="D577" s="2" t="s">
        <v>280</v>
      </c>
      <c r="E577" s="6" t="n">
        <v>1000</v>
      </c>
      <c r="F577" s="7" t="n">
        <v>1</v>
      </c>
      <c r="G577" s="6" t="n">
        <v>39.39</v>
      </c>
      <c r="H577" s="6" t="n">
        <v>5</v>
      </c>
      <c r="I577" s="6" t="n">
        <v>39.39</v>
      </c>
      <c r="J577" s="6" t="n">
        <v>34.39</v>
      </c>
    </row>
    <row collapsed="false" customFormat="false" customHeight="false" hidden="false" ht="12.1" outlineLevel="0" r="578">
      <c r="A578" s="35" t="n">
        <v>46098</v>
      </c>
      <c r="B578" s="2" t="s">
        <v>1163</v>
      </c>
      <c r="C578" s="2" t="s">
        <v>222</v>
      </c>
      <c r="D578" s="2" t="s">
        <v>223</v>
      </c>
      <c r="E578" s="6" t="n">
        <v>0</v>
      </c>
      <c r="F578" s="7" t="n">
        <v>1</v>
      </c>
      <c r="G578" s="6" t="n">
        <v>20.96</v>
      </c>
      <c r="H578" s="6" t="n">
        <v>3</v>
      </c>
      <c r="I578" s="6" t="n">
        <v>20.96</v>
      </c>
      <c r="J578" s="6" t="n">
        <v>17.96</v>
      </c>
    </row>
    <row collapsed="false" customFormat="false" customHeight="false" hidden="false" ht="12.1" outlineLevel="0" r="579">
      <c r="A579" s="35" t="n">
        <v>46098</v>
      </c>
      <c r="B579" s="2" t="s">
        <v>1163</v>
      </c>
      <c r="C579" s="2" t="s">
        <v>117</v>
      </c>
      <c r="D579" s="2" t="s">
        <v>118</v>
      </c>
      <c r="E579" s="6" t="n">
        <v>1000</v>
      </c>
      <c r="F579" s="7" t="n">
        <v>14</v>
      </c>
      <c r="G579" s="6" t="n">
        <v>29.42</v>
      </c>
      <c r="H579" s="6" t="n">
        <v>54</v>
      </c>
      <c r="I579" s="6" t="n">
        <v>411.88</v>
      </c>
      <c r="J579" s="6" t="n">
        <v>357.88</v>
      </c>
    </row>
    <row collapsed="false" customFormat="false" customHeight="false" hidden="false" ht="12.1" outlineLevel="0" r="580">
      <c r="A580" s="35" t="n">
        <v>46099</v>
      </c>
      <c r="B580" s="2" t="s">
        <v>1163</v>
      </c>
      <c r="C580" s="2" t="s">
        <v>285</v>
      </c>
      <c r="D580" s="2" t="s">
        <v>286</v>
      </c>
      <c r="E580" s="6" t="n">
        <v>1000</v>
      </c>
      <c r="F580" s="7" t="n">
        <v>1</v>
      </c>
      <c r="G580" s="6" t="n">
        <v>11.18</v>
      </c>
      <c r="H580" s="6" t="n">
        <v>1</v>
      </c>
      <c r="I580" s="6" t="n">
        <v>11.18</v>
      </c>
      <c r="J580" s="6" t="n">
        <v>10.18</v>
      </c>
    </row>
    <row collapsed="false" customFormat="false" customHeight="false" hidden="false" ht="12.1" outlineLevel="0" r="581">
      <c r="A581" s="35" t="n">
        <v>46101</v>
      </c>
      <c r="B581" s="2" t="s">
        <v>1163</v>
      </c>
      <c r="C581" s="2" t="s">
        <v>180</v>
      </c>
      <c r="D581" s="2" t="s">
        <v>181</v>
      </c>
      <c r="E581" s="6" t="n">
        <v>1000</v>
      </c>
      <c r="F581" s="7" t="n">
        <v>2</v>
      </c>
      <c r="G581" s="6" t="n">
        <v>18.16</v>
      </c>
      <c r="H581" s="6" t="n">
        <v>5</v>
      </c>
      <c r="I581" s="6" t="n">
        <v>36.32</v>
      </c>
      <c r="J581" s="6" t="n">
        <v>31.32</v>
      </c>
    </row>
    <row collapsed="false" customFormat="false" customHeight="false" hidden="false" ht="12.1" outlineLevel="0" r="582">
      <c r="A582" s="35" t="n">
        <v>46102</v>
      </c>
      <c r="B582" s="2" t="s">
        <v>1163</v>
      </c>
      <c r="C582" s="2" t="s">
        <v>243</v>
      </c>
      <c r="D582" s="2" t="s">
        <v>244</v>
      </c>
      <c r="E582" s="6" t="n">
        <v>1000</v>
      </c>
      <c r="F582" s="7" t="n">
        <v>1</v>
      </c>
      <c r="G582" s="6" t="n">
        <v>19.21</v>
      </c>
      <c r="H582" s="6" t="n">
        <v>2</v>
      </c>
      <c r="I582" s="6" t="n">
        <v>19.21</v>
      </c>
      <c r="J582" s="6" t="n">
        <v>17.21</v>
      </c>
    </row>
    <row collapsed="false" customFormat="false" customHeight="false" hidden="false" ht="12.1" outlineLevel="0" r="583">
      <c r="A583" s="35" t="n">
        <v>46103</v>
      </c>
      <c r="B583" s="2" t="s">
        <v>1163</v>
      </c>
      <c r="C583" s="2" t="s">
        <v>198</v>
      </c>
      <c r="D583" s="2" t="s">
        <v>199</v>
      </c>
      <c r="E583" s="6" t="n">
        <v>1000</v>
      </c>
      <c r="F583" s="7" t="n">
        <v>2</v>
      </c>
      <c r="G583" s="6" t="n">
        <v>45.38</v>
      </c>
      <c r="H583" s="6" t="n">
        <v>12</v>
      </c>
      <c r="I583" s="6" t="n">
        <v>90.76</v>
      </c>
      <c r="J583" s="6" t="n">
        <v>78.76</v>
      </c>
    </row>
    <row collapsed="false" customFormat="false" customHeight="false" hidden="false" ht="12.1" outlineLevel="0" r="584">
      <c r="A584" s="35" t="n">
        <v>46105</v>
      </c>
      <c r="B584" s="2" t="s">
        <v>1163</v>
      </c>
      <c r="C584" s="2" t="s">
        <v>144</v>
      </c>
      <c r="D584" s="2" t="s">
        <v>145</v>
      </c>
      <c r="E584" s="6" t="n">
        <v>1000</v>
      </c>
      <c r="F584" s="7" t="n">
        <v>6</v>
      </c>
      <c r="G584" s="6" t="n">
        <v>59.84</v>
      </c>
      <c r="H584" s="6" t="n">
        <v>47</v>
      </c>
      <c r="I584" s="6" t="n">
        <v>359.04</v>
      </c>
      <c r="J584" s="6" t="n">
        <v>312.04</v>
      </c>
    </row>
    <row collapsed="false" customFormat="false" customHeight="false" hidden="false" ht="12.1" outlineLevel="0" r="585">
      <c r="A585" s="35" t="n">
        <v>46105</v>
      </c>
      <c r="B585" s="2" t="s">
        <v>1163</v>
      </c>
      <c r="C585" s="2" t="s">
        <v>153</v>
      </c>
      <c r="D585" s="2" t="s">
        <v>154</v>
      </c>
      <c r="E585" s="6" t="n">
        <v>1000</v>
      </c>
      <c r="F585" s="7" t="n">
        <v>4</v>
      </c>
      <c r="G585" s="6" t="n">
        <v>17.63</v>
      </c>
      <c r="H585" s="6" t="n">
        <v>9</v>
      </c>
      <c r="I585" s="6" t="n">
        <v>70.52</v>
      </c>
      <c r="J585" s="6" t="n">
        <v>61.52</v>
      </c>
    </row>
    <row collapsed="false" customFormat="false" customHeight="false" hidden="false" ht="12.1" outlineLevel="0" r="586">
      <c r="A586" s="35" t="n">
        <v>46105</v>
      </c>
      <c r="B586" s="2" t="s">
        <v>1163</v>
      </c>
      <c r="C586" s="2" t="s">
        <v>231</v>
      </c>
      <c r="D586" s="2" t="s">
        <v>232</v>
      </c>
      <c r="E586" s="6" t="n">
        <v>0</v>
      </c>
      <c r="F586" s="7" t="n">
        <v>1</v>
      </c>
      <c r="G586" s="6" t="n">
        <v>19.48</v>
      </c>
      <c r="H586" s="6" t="n">
        <v>3</v>
      </c>
      <c r="I586" s="6" t="n">
        <v>19.48</v>
      </c>
      <c r="J586" s="6" t="n">
        <v>16.48</v>
      </c>
    </row>
    <row collapsed="false" customFormat="false" customHeight="false" hidden="false" ht="12.1" outlineLevel="0" r="587">
      <c r="A587" s="35" t="n">
        <v>46105</v>
      </c>
      <c r="B587" s="2" t="s">
        <v>1163</v>
      </c>
      <c r="C587" s="2" t="s">
        <v>138</v>
      </c>
      <c r="D587" s="2" t="s">
        <v>139</v>
      </c>
      <c r="E587" s="6" t="n">
        <v>1000</v>
      </c>
      <c r="F587" s="7" t="n">
        <v>7</v>
      </c>
      <c r="G587" s="6" t="n">
        <v>56.1</v>
      </c>
      <c r="H587" s="6" t="n">
        <v>51</v>
      </c>
      <c r="I587" s="6" t="n">
        <v>392.7</v>
      </c>
      <c r="J587" s="6" t="n">
        <v>341.7</v>
      </c>
    </row>
    <row collapsed="false" customFormat="false" customHeight="false" hidden="false" ht="12.1" outlineLevel="0" r="588">
      <c r="A588" s="35" t="n">
        <v>46105</v>
      </c>
      <c r="B588" s="2" t="s">
        <v>1163</v>
      </c>
      <c r="C588" s="2" t="s">
        <v>126</v>
      </c>
      <c r="D588" s="2" t="s">
        <v>127</v>
      </c>
      <c r="E588" s="6" t="n">
        <v>1000</v>
      </c>
      <c r="F588" s="7" t="n">
        <v>10</v>
      </c>
      <c r="G588" s="6" t="n">
        <v>42.38</v>
      </c>
      <c r="H588" s="6" t="n">
        <v>55</v>
      </c>
      <c r="I588" s="6" t="n">
        <v>423.8</v>
      </c>
      <c r="J588" s="6" t="n">
        <v>368.8</v>
      </c>
    </row>
    <row collapsed="false" customFormat="false" customHeight="false" hidden="false" ht="12.1" outlineLevel="0" r="589">
      <c r="A589" s="35" t="n">
        <v>46107</v>
      </c>
      <c r="B589" s="2" t="s">
        <v>1163</v>
      </c>
      <c r="C589" s="2" t="s">
        <v>282</v>
      </c>
      <c r="D589" s="2" t="s">
        <v>283</v>
      </c>
      <c r="E589" s="6" t="n">
        <v>1000</v>
      </c>
      <c r="F589" s="7" t="n">
        <v>1</v>
      </c>
      <c r="G589" s="6" t="n">
        <v>52.36</v>
      </c>
      <c r="H589" s="6" t="n">
        <v>7</v>
      </c>
      <c r="I589" s="6" t="n">
        <v>52.36</v>
      </c>
      <c r="J589" s="6" t="n">
        <v>45.36</v>
      </c>
    </row>
    <row collapsed="false" customFormat="false" customHeight="false" hidden="false" ht="12.1" outlineLevel="0" r="590">
      <c r="A590" s="35" t="n">
        <v>46112</v>
      </c>
      <c r="B590" s="2" t="s">
        <v>1163</v>
      </c>
      <c r="C590" s="2" t="s">
        <v>132</v>
      </c>
      <c r="D590" s="2" t="s">
        <v>133</v>
      </c>
      <c r="E590" s="6" t="n">
        <v>1000</v>
      </c>
      <c r="F590" s="7" t="n">
        <v>10</v>
      </c>
      <c r="G590" s="6" t="n">
        <v>38.39</v>
      </c>
      <c r="H590" s="6" t="n">
        <v>50</v>
      </c>
      <c r="I590" s="6" t="n">
        <v>383.9</v>
      </c>
      <c r="J590" s="6" t="n">
        <v>333.9</v>
      </c>
    </row>
    <row collapsed="false" customFormat="false" customHeight="false" hidden="false" ht="12.1" outlineLevel="0" r="591">
      <c r="A591" s="35" t="n">
        <v>46112</v>
      </c>
      <c r="B591" s="2" t="s">
        <v>1163</v>
      </c>
      <c r="C591" s="2" t="s">
        <v>111</v>
      </c>
      <c r="D591" s="2" t="s">
        <v>112</v>
      </c>
      <c r="E591" s="6" t="n">
        <v>1000</v>
      </c>
      <c r="F591" s="7" t="n">
        <v>17</v>
      </c>
      <c r="G591" s="6" t="n">
        <v>38.39</v>
      </c>
      <c r="H591" s="6" t="n">
        <v>85</v>
      </c>
      <c r="I591" s="6" t="n">
        <v>652.63</v>
      </c>
      <c r="J591" s="6" t="n">
        <v>567.63</v>
      </c>
    </row>
    <row collapsed="false" customFormat="false" customHeight="false" hidden="false" ht="12.1" outlineLevel="0" r="592">
      <c r="A592" s="35" t="n">
        <v>46114</v>
      </c>
      <c r="B592" s="2" t="s">
        <v>1163</v>
      </c>
      <c r="C592" s="2" t="s">
        <v>216</v>
      </c>
      <c r="D592" s="2" t="s">
        <v>217</v>
      </c>
      <c r="E592" s="6" t="n">
        <v>0</v>
      </c>
      <c r="F592" s="7" t="n">
        <v>1</v>
      </c>
      <c r="G592" s="6" t="n">
        <v>19.11</v>
      </c>
      <c r="H592" s="6" t="n">
        <v>2</v>
      </c>
      <c r="I592" s="6" t="n">
        <v>19.11</v>
      </c>
      <c r="J592" s="6" t="n">
        <v>17.11</v>
      </c>
    </row>
    <row collapsed="false" customFormat="false" customHeight="false" hidden="false" ht="12.1" outlineLevel="0" r="593">
      <c r="A593" s="35" t="n">
        <v>46115</v>
      </c>
      <c r="B593" s="2" t="s">
        <v>1163</v>
      </c>
      <c r="C593" s="2" t="s">
        <v>234</v>
      </c>
      <c r="D593" s="2" t="s">
        <v>235</v>
      </c>
      <c r="E593" s="6" t="n">
        <v>1000</v>
      </c>
      <c r="F593" s="7" t="n">
        <v>1</v>
      </c>
      <c r="G593" s="6" t="n">
        <v>19.2</v>
      </c>
      <c r="H593" s="6" t="n">
        <v>2</v>
      </c>
      <c r="I593" s="6" t="n">
        <v>19.2</v>
      </c>
      <c r="J593" s="6" t="n">
        <v>17.2</v>
      </c>
    </row>
    <row collapsed="false" customFormat="false" customHeight="false" hidden="false" ht="12.1" outlineLevel="0" r="594">
      <c r="A594" s="35" t="n">
        <v>46118</v>
      </c>
      <c r="B594" s="2" t="s">
        <v>1163</v>
      </c>
      <c r="C594" s="2" t="s">
        <v>183</v>
      </c>
      <c r="D594" s="2" t="s">
        <v>184</v>
      </c>
      <c r="E594" s="6" t="n">
        <v>1000</v>
      </c>
      <c r="F594" s="7" t="n">
        <v>2</v>
      </c>
      <c r="G594" s="6" t="n">
        <v>19.3</v>
      </c>
      <c r="H594" s="6" t="n">
        <v>5</v>
      </c>
      <c r="I594" s="6" t="n">
        <v>38.6</v>
      </c>
      <c r="J594" s="6" t="n">
        <v>33.6</v>
      </c>
    </row>
    <row collapsed="false" customFormat="false" customHeight="false" hidden="false" ht="12.1" outlineLevel="0" r="595">
      <c r="A595" s="35" t="n">
        <v>46119</v>
      </c>
      <c r="B595" s="2" t="s">
        <v>1163</v>
      </c>
      <c r="C595" s="2" t="s">
        <v>141</v>
      </c>
      <c r="D595" s="2" t="s">
        <v>142</v>
      </c>
      <c r="E595" s="6" t="n">
        <v>1000</v>
      </c>
      <c r="F595" s="7" t="n">
        <v>5</v>
      </c>
      <c r="G595" s="6" t="n">
        <v>110.05</v>
      </c>
      <c r="H595" s="6" t="n">
        <v>72</v>
      </c>
      <c r="I595" s="6" t="n">
        <v>550.25</v>
      </c>
      <c r="J595" s="6" t="n">
        <v>478.25</v>
      </c>
    </row>
    <row collapsed="false" customFormat="false" customHeight="false" hidden="false" ht="12.1" outlineLevel="0" r="596">
      <c r="A596" s="35" t="n">
        <v>46119</v>
      </c>
      <c r="B596" s="2" t="s">
        <v>1163</v>
      </c>
      <c r="C596" s="2" t="s">
        <v>156</v>
      </c>
      <c r="D596" s="2" t="s">
        <v>157</v>
      </c>
      <c r="E596" s="6" t="n">
        <v>0</v>
      </c>
      <c r="F596" s="7" t="n">
        <v>4</v>
      </c>
      <c r="G596" s="6" t="n">
        <v>59.84</v>
      </c>
      <c r="H596" s="6" t="n">
        <v>31</v>
      </c>
      <c r="I596" s="6" t="n">
        <v>239.36</v>
      </c>
      <c r="J596" s="6" t="n">
        <v>208.36</v>
      </c>
    </row>
    <row collapsed="false" customFormat="false" customHeight="false" hidden="false" ht="12.1" outlineLevel="0" r="597">
      <c r="A597" s="35" t="n">
        <v>46124</v>
      </c>
      <c r="B597" s="2" t="s">
        <v>1163</v>
      </c>
      <c r="C597" s="2" t="s">
        <v>228</v>
      </c>
      <c r="D597" s="2" t="s">
        <v>229</v>
      </c>
      <c r="E597" s="6" t="n">
        <v>1000</v>
      </c>
      <c r="F597" s="7" t="n">
        <v>1</v>
      </c>
      <c r="G597" s="6" t="n">
        <v>19.04</v>
      </c>
      <c r="H597" s="6" t="n">
        <v>2</v>
      </c>
      <c r="I597" s="6" t="n">
        <v>19.04</v>
      </c>
      <c r="J597" s="6" t="n">
        <v>17.04</v>
      </c>
    </row>
    <row collapsed="false" customFormat="false" customHeight="false" hidden="false" ht="12.1" outlineLevel="0" r="598">
      <c r="A598" s="35" t="n">
        <v>46125</v>
      </c>
      <c r="B598" s="2" t="s">
        <v>1163</v>
      </c>
      <c r="C598" s="2" t="s">
        <v>207</v>
      </c>
      <c r="D598" s="2" t="s">
        <v>208</v>
      </c>
      <c r="E598" s="6" t="n">
        <v>1000</v>
      </c>
      <c r="F598" s="7" t="n">
        <v>2</v>
      </c>
      <c r="G598" s="6" t="n">
        <v>24.93</v>
      </c>
      <c r="H598" s="6" t="n">
        <v>6</v>
      </c>
      <c r="I598" s="6" t="n">
        <v>49.86</v>
      </c>
      <c r="J598" s="6" t="n">
        <v>43.86</v>
      </c>
    </row>
    <row collapsed="false" customFormat="false" customHeight="false" hidden="false" ht="12.1" outlineLevel="0" r="599">
      <c r="A599" s="35" t="n">
        <v>46126</v>
      </c>
      <c r="B599" s="2" t="s">
        <v>1163</v>
      </c>
      <c r="C599" s="2" t="s">
        <v>219</v>
      </c>
      <c r="D599" s="2" t="s">
        <v>220</v>
      </c>
      <c r="E599" s="6" t="n">
        <v>1000</v>
      </c>
      <c r="F599" s="7" t="n">
        <v>1</v>
      </c>
      <c r="G599" s="6" t="n">
        <v>97.23</v>
      </c>
      <c r="H599" s="6" t="n">
        <v>13</v>
      </c>
      <c r="I599" s="6" t="n">
        <v>97.23</v>
      </c>
      <c r="J599" s="6" t="n">
        <v>84.23</v>
      </c>
    </row>
    <row collapsed="false" customFormat="false" customHeight="false" hidden="false" ht="12.1" outlineLevel="0" r="600">
      <c r="A600" s="35" t="n">
        <v>46126</v>
      </c>
      <c r="B600" s="2" t="s">
        <v>1163</v>
      </c>
      <c r="C600" s="2" t="s">
        <v>294</v>
      </c>
      <c r="D600" s="2" t="s">
        <v>295</v>
      </c>
      <c r="E600" s="6" t="n">
        <v>1000</v>
      </c>
      <c r="F600" s="7" t="n">
        <v>1</v>
      </c>
      <c r="G600" s="6" t="n">
        <v>26.18</v>
      </c>
      <c r="H600" s="6" t="n">
        <v>3</v>
      </c>
      <c r="I600" s="6" t="n">
        <v>26.18</v>
      </c>
      <c r="J600" s="6" t="n">
        <v>23.18</v>
      </c>
    </row>
    <row collapsed="false" customFormat="false" customHeight="false" hidden="false" ht="12.1" outlineLevel="0" r="601">
      <c r="A601" s="35" t="n">
        <v>46126</v>
      </c>
      <c r="B601" s="2" t="s">
        <v>1163</v>
      </c>
      <c r="C601" s="2" t="s">
        <v>114</v>
      </c>
      <c r="D601" s="2" t="s">
        <v>115</v>
      </c>
      <c r="E601" s="6" t="n">
        <v>1000</v>
      </c>
      <c r="F601" s="7" t="n">
        <v>13</v>
      </c>
      <c r="G601" s="6" t="n">
        <v>38.15</v>
      </c>
      <c r="H601" s="6" t="n">
        <v>64</v>
      </c>
      <c r="I601" s="6" t="n">
        <v>495.95</v>
      </c>
      <c r="J601" s="6" t="n">
        <v>431.95</v>
      </c>
    </row>
    <row collapsed="false" customFormat="false" customHeight="false" hidden="false" ht="12.1" outlineLevel="0" r="602">
      <c r="A602" s="35" t="n">
        <v>46128</v>
      </c>
      <c r="B602" s="2" t="s">
        <v>1163</v>
      </c>
      <c r="C602" s="2" t="s">
        <v>222</v>
      </c>
      <c r="D602" s="2" t="s">
        <v>223</v>
      </c>
      <c r="E602" s="6" t="n">
        <v>0</v>
      </c>
      <c r="F602" s="7" t="n">
        <v>1</v>
      </c>
      <c r="G602" s="6" t="n">
        <v>20.96</v>
      </c>
      <c r="H602" s="6" t="n">
        <v>3</v>
      </c>
      <c r="I602" s="6" t="n">
        <v>20.96</v>
      </c>
      <c r="J602" s="6" t="n">
        <v>17.96</v>
      </c>
    </row>
    <row collapsed="false" customFormat="false" customHeight="false" hidden="false" ht="12.1" outlineLevel="0" r="603">
      <c r="A603" s="35" t="n">
        <v>46129</v>
      </c>
      <c r="B603" s="2" t="s">
        <v>1163</v>
      </c>
      <c r="C603" s="2" t="s">
        <v>285</v>
      </c>
      <c r="D603" s="2" t="s">
        <v>286</v>
      </c>
      <c r="E603" s="6" t="n">
        <v>1000</v>
      </c>
      <c r="F603" s="7" t="n">
        <v>1</v>
      </c>
      <c r="G603" s="6" t="n">
        <v>11.18</v>
      </c>
      <c r="H603" s="6" t="n">
        <v>1</v>
      </c>
      <c r="I603" s="6" t="n">
        <v>11.18</v>
      </c>
      <c r="J603" s="6" t="n">
        <v>10.18</v>
      </c>
    </row>
    <row collapsed="false" customFormat="false" customHeight="false" hidden="false" ht="12.1" outlineLevel="0" r="604">
      <c r="A604" s="35" t="n">
        <v>46131</v>
      </c>
      <c r="B604" s="2" t="s">
        <v>1163</v>
      </c>
      <c r="C604" s="2" t="s">
        <v>180</v>
      </c>
      <c r="D604" s="2" t="s">
        <v>181</v>
      </c>
      <c r="E604" s="6" t="n">
        <v>1000</v>
      </c>
      <c r="F604" s="7" t="n">
        <v>2</v>
      </c>
      <c r="G604" s="6" t="n">
        <v>18.16</v>
      </c>
      <c r="H604" s="6" t="n">
        <v>5</v>
      </c>
      <c r="I604" s="6" t="n">
        <v>36.32</v>
      </c>
      <c r="J604" s="6" t="n">
        <v>31.32</v>
      </c>
    </row>
    <row collapsed="false" customFormat="false" customHeight="false" hidden="false" ht="12.1" outlineLevel="0" r="605">
      <c r="A605" s="35" t="n">
        <v>46132</v>
      </c>
      <c r="B605" s="2" t="s">
        <v>1163</v>
      </c>
      <c r="C605" s="2" t="s">
        <v>308</v>
      </c>
      <c r="D605" s="2" t="s">
        <v>309</v>
      </c>
      <c r="E605" s="6" t="n">
        <v>175</v>
      </c>
      <c r="F605" s="7" t="n">
        <v>1</v>
      </c>
      <c r="G605" s="6" t="n">
        <v>6</v>
      </c>
      <c r="H605" s="6" t="n">
        <v>1</v>
      </c>
      <c r="I605" s="6" t="n">
        <v>6</v>
      </c>
      <c r="J605" s="6" t="n">
        <v>5</v>
      </c>
    </row>
    <row collapsed="false" customFormat="false" customHeight="false" hidden="false" ht="12.1" outlineLevel="0" r="606">
      <c r="A606" s="35" t="n">
        <v>46133</v>
      </c>
      <c r="B606" s="2" t="s">
        <v>1163</v>
      </c>
      <c r="C606" s="2" t="s">
        <v>243</v>
      </c>
      <c r="D606" s="2" t="s">
        <v>244</v>
      </c>
      <c r="E606" s="6" t="n">
        <v>1000</v>
      </c>
      <c r="F606" s="7" t="n">
        <v>1</v>
      </c>
      <c r="G606" s="6" t="n">
        <v>19.21</v>
      </c>
      <c r="H606" s="6" t="n">
        <v>2</v>
      </c>
      <c r="I606" s="6" t="n">
        <v>19.21</v>
      </c>
      <c r="J606" s="6" t="n">
        <v>17.21</v>
      </c>
    </row>
    <row collapsed="false" customFormat="false" customHeight="false" hidden="false" ht="12.1" outlineLevel="0" r="607">
      <c r="A607" s="35" t="n">
        <v>46133</v>
      </c>
      <c r="B607" s="2" t="s">
        <v>1163</v>
      </c>
      <c r="C607" s="2" t="s">
        <v>237</v>
      </c>
      <c r="D607" s="2" t="s">
        <v>238</v>
      </c>
      <c r="E607" s="6" t="n">
        <v>1000</v>
      </c>
      <c r="F607" s="7" t="n">
        <v>1</v>
      </c>
      <c r="G607" s="6" t="n">
        <v>56.52</v>
      </c>
      <c r="H607" s="6" t="n">
        <v>7</v>
      </c>
      <c r="I607" s="6" t="n">
        <v>56.52</v>
      </c>
      <c r="J607" s="6" t="n">
        <v>49.52</v>
      </c>
    </row>
    <row collapsed="false" customFormat="false" customHeight="false" hidden="false" ht="12.1" outlineLevel="0" r="608">
      <c r="A608" s="35" t="n">
        <v>46135</v>
      </c>
      <c r="B608" s="2" t="s">
        <v>1163</v>
      </c>
      <c r="C608" s="2" t="s">
        <v>231</v>
      </c>
      <c r="D608" s="2" t="s">
        <v>232</v>
      </c>
      <c r="E608" s="6" t="n">
        <v>0</v>
      </c>
      <c r="F608" s="7" t="n">
        <v>1</v>
      </c>
      <c r="G608" s="6" t="n">
        <v>19.48</v>
      </c>
      <c r="H608" s="6" t="n">
        <v>3</v>
      </c>
      <c r="I608" s="6" t="n">
        <v>19.48</v>
      </c>
      <c r="J608" s="6" t="n">
        <v>16.48</v>
      </c>
    </row>
    <row collapsed="false" customFormat="false" customHeight="false" hidden="false" ht="12.1" outlineLevel="0" r="609">
      <c r="A609" s="35" t="n">
        <v>46139</v>
      </c>
      <c r="B609" s="2" t="s">
        <v>1163</v>
      </c>
      <c r="C609" s="2" t="s">
        <v>291</v>
      </c>
      <c r="D609" s="2" t="s">
        <v>292</v>
      </c>
      <c r="E609" s="6" t="n">
        <v>1000</v>
      </c>
      <c r="F609" s="7" t="n">
        <v>1</v>
      </c>
      <c r="G609" s="6" t="n">
        <v>28.22</v>
      </c>
      <c r="H609" s="6" t="n">
        <v>4</v>
      </c>
      <c r="I609" s="6" t="n">
        <v>28.22</v>
      </c>
      <c r="J609" s="6" t="n">
        <v>24.22</v>
      </c>
    </row>
    <row collapsed="false" customFormat="false" customHeight="false" hidden="false" ht="12.1" outlineLevel="0" r="610">
      <c r="A610" s="35" t="n">
        <v>46139</v>
      </c>
      <c r="B610" s="2" t="s">
        <v>1163</v>
      </c>
      <c r="C610" s="2" t="s">
        <v>189</v>
      </c>
      <c r="D610" s="2" t="s">
        <v>190</v>
      </c>
      <c r="E610" s="6" t="n">
        <v>875</v>
      </c>
      <c r="F610" s="7" t="n">
        <v>2</v>
      </c>
      <c r="G610" s="6" t="n">
        <v>25.52</v>
      </c>
      <c r="H610" s="6" t="n">
        <v>7</v>
      </c>
      <c r="I610" s="6" t="n">
        <v>51.04</v>
      </c>
      <c r="J610" s="6" t="n">
        <v>44.04</v>
      </c>
    </row>
    <row collapsed="false" customFormat="false" customHeight="false" hidden="false" ht="12.1" outlineLevel="0" r="611">
      <c r="A611" s="35" t="n">
        <v>46140</v>
      </c>
      <c r="B611" s="2" t="s">
        <v>1163</v>
      </c>
      <c r="C611" s="2" t="s">
        <v>246</v>
      </c>
      <c r="D611" s="2" t="s">
        <v>247</v>
      </c>
      <c r="E611" s="6" t="n">
        <v>1000</v>
      </c>
      <c r="F611" s="7" t="n">
        <v>1</v>
      </c>
      <c r="G611" s="6" t="n">
        <v>52.59</v>
      </c>
      <c r="H611" s="6" t="n">
        <v>7</v>
      </c>
      <c r="I611" s="6" t="n">
        <v>52.59</v>
      </c>
      <c r="J611" s="6" t="n">
        <v>45.59</v>
      </c>
    </row>
    <row collapsed="false" customFormat="false" customHeight="false" hidden="false" ht="12.1" outlineLevel="0" r="612">
      <c r="A612" s="35" t="n">
        <v>46142</v>
      </c>
      <c r="B612" s="2" t="s">
        <v>1163</v>
      </c>
      <c r="C612" s="2" t="s">
        <v>297</v>
      </c>
      <c r="D612" s="2" t="s">
        <v>298</v>
      </c>
      <c r="E612" s="6" t="n">
        <v>1000</v>
      </c>
      <c r="F612" s="7" t="n">
        <v>1</v>
      </c>
      <c r="G612" s="6" t="n">
        <v>23.86</v>
      </c>
      <c r="H612" s="6" t="n">
        <v>3</v>
      </c>
      <c r="I612" s="6" t="n">
        <v>23.86</v>
      </c>
      <c r="J612" s="6" t="n">
        <v>20.86</v>
      </c>
    </row>
    <row collapsed="false" customFormat="false" customHeight="false" hidden="false" ht="12.1" outlineLevel="0" r="613">
      <c r="A613" s="35" t="n">
        <v>46142</v>
      </c>
      <c r="B613" s="2" t="s">
        <v>1163</v>
      </c>
      <c r="C613" s="2" t="s">
        <v>267</v>
      </c>
      <c r="D613" s="2" t="s">
        <v>268</v>
      </c>
      <c r="E613" s="6" t="n">
        <v>1000</v>
      </c>
      <c r="F613" s="7" t="n">
        <v>1</v>
      </c>
      <c r="G613" s="6" t="n">
        <v>59.19</v>
      </c>
      <c r="H613" s="6" t="n">
        <v>8</v>
      </c>
      <c r="I613" s="6" t="n">
        <v>59.19</v>
      </c>
      <c r="J613" s="6" t="n">
        <v>51.19</v>
      </c>
    </row>
    <row collapsed="false" customFormat="false" customHeight="false" hidden="false" ht="12.1" outlineLevel="0" r="614">
      <c r="A614" s="35" t="n">
        <v>46144</v>
      </c>
      <c r="B614" s="2" t="s">
        <v>1163</v>
      </c>
      <c r="C614" s="2" t="s">
        <v>216</v>
      </c>
      <c r="D614" s="2" t="s">
        <v>217</v>
      </c>
      <c r="E614" s="6" t="n">
        <v>0</v>
      </c>
      <c r="F614" s="7" t="n">
        <v>1</v>
      </c>
      <c r="G614" s="6" t="n">
        <v>19.11</v>
      </c>
      <c r="H614" s="6" t="n">
        <v>2</v>
      </c>
      <c r="I614" s="6" t="n">
        <v>19.11</v>
      </c>
      <c r="J614" s="6" t="n">
        <v>17.11</v>
      </c>
    </row>
    <row collapsed="false" customFormat="false" customHeight="false" hidden="false" ht="12.1" outlineLevel="0" r="615">
      <c r="A615" s="35" t="n">
        <v>46146</v>
      </c>
      <c r="B615" s="2" t="s">
        <v>1163</v>
      </c>
      <c r="C615" s="2" t="s">
        <v>234</v>
      </c>
      <c r="D615" s="2" t="s">
        <v>235</v>
      </c>
      <c r="E615" s="6" t="n">
        <v>1000</v>
      </c>
      <c r="F615" s="7" t="n">
        <v>1</v>
      </c>
      <c r="G615" s="6" t="n">
        <v>19.2</v>
      </c>
      <c r="H615" s="6" t="n">
        <v>2</v>
      </c>
      <c r="I615" s="6" t="n">
        <v>19.2</v>
      </c>
      <c r="J615" s="6" t="n">
        <v>17.2</v>
      </c>
    </row>
    <row collapsed="false" customFormat="false" customHeight="false" hidden="false" ht="12.1" outlineLevel="0" r="616">
      <c r="A616" s="35" t="n">
        <v>46149</v>
      </c>
      <c r="B616" s="2" t="s">
        <v>1163</v>
      </c>
      <c r="C616" s="2" t="s">
        <v>204</v>
      </c>
      <c r="D616" s="2" t="s">
        <v>205</v>
      </c>
      <c r="E616" s="6" t="n">
        <v>1000</v>
      </c>
      <c r="F616" s="7" t="n">
        <v>2</v>
      </c>
      <c r="G616" s="6" t="n">
        <v>45.38</v>
      </c>
      <c r="H616" s="6" t="n">
        <v>12</v>
      </c>
      <c r="I616" s="6" t="n">
        <v>90.76</v>
      </c>
      <c r="J616" s="6" t="n">
        <v>78.76</v>
      </c>
    </row>
    <row collapsed="false" customFormat="false" customHeight="false" hidden="false" ht="12.1" outlineLevel="0" r="617">
      <c r="A617" s="35" t="n">
        <v>46149</v>
      </c>
      <c r="B617" s="2" t="s">
        <v>1163</v>
      </c>
      <c r="C617" s="2" t="s">
        <v>183</v>
      </c>
      <c r="D617" s="2" t="s">
        <v>184</v>
      </c>
      <c r="E617" s="6" t="n">
        <v>1000</v>
      </c>
      <c r="F617" s="7" t="n">
        <v>2</v>
      </c>
      <c r="G617" s="6" t="n">
        <v>19.3</v>
      </c>
      <c r="H617" s="6" t="n">
        <v>5</v>
      </c>
      <c r="I617" s="6" t="n">
        <v>38.6</v>
      </c>
      <c r="J617" s="6" t="n">
        <v>33.6</v>
      </c>
    </row>
    <row collapsed="false" customFormat="false" customHeight="false" hidden="false" ht="12.1" outlineLevel="0" r="618">
      <c r="A618" s="35" t="n">
        <v>46154</v>
      </c>
      <c r="B618" s="2" t="s">
        <v>1163</v>
      </c>
      <c r="C618" s="2" t="s">
        <v>105</v>
      </c>
      <c r="D618" s="2" t="s">
        <v>106</v>
      </c>
      <c r="E618" s="6" t="n">
        <v>1000</v>
      </c>
      <c r="F618" s="7" t="n">
        <v>11</v>
      </c>
      <c r="G618" s="6" t="n">
        <v>112.04</v>
      </c>
      <c r="H618" s="6" t="n">
        <v>160</v>
      </c>
      <c r="I618" s="6" t="n">
        <v>1232.44</v>
      </c>
      <c r="J618" s="6" t="n">
        <v>1072.44</v>
      </c>
    </row>
    <row collapsed="false" customFormat="false" customHeight="false" hidden="false" ht="12.1" outlineLevel="0" r="619">
      <c r="A619" s="35" t="n">
        <v>46155</v>
      </c>
      <c r="B619" s="2" t="s">
        <v>1163</v>
      </c>
      <c r="C619" s="2" t="s">
        <v>228</v>
      </c>
      <c r="D619" s="2" t="s">
        <v>229</v>
      </c>
      <c r="E619" s="6" t="n">
        <v>1000</v>
      </c>
      <c r="F619" s="7" t="n">
        <v>1</v>
      </c>
      <c r="G619" s="6" t="n">
        <v>19.04</v>
      </c>
      <c r="H619" s="6" t="n">
        <v>2</v>
      </c>
      <c r="I619" s="6" t="n">
        <v>19.04</v>
      </c>
      <c r="J619" s="6" t="n">
        <v>17.04</v>
      </c>
    </row>
    <row collapsed="false" customFormat="false" customHeight="false" hidden="false" ht="12.1" outlineLevel="0" r="620">
      <c r="A620" s="35" t="n">
        <v>46158</v>
      </c>
      <c r="B620" s="2" t="s">
        <v>1163</v>
      </c>
      <c r="C620" s="2" t="s">
        <v>222</v>
      </c>
      <c r="D620" s="2" t="s">
        <v>223</v>
      </c>
      <c r="E620" s="6" t="n">
        <v>0</v>
      </c>
      <c r="F620" s="7" t="n">
        <v>1</v>
      </c>
      <c r="G620" s="6" t="n">
        <v>20.96</v>
      </c>
      <c r="H620" s="6" t="n">
        <v>3</v>
      </c>
      <c r="I620" s="6" t="n">
        <v>20.96</v>
      </c>
      <c r="J620" s="6" t="n">
        <v>17.96</v>
      </c>
    </row>
    <row collapsed="false" customFormat="false" customHeight="false" hidden="false" ht="12.1" outlineLevel="0" r="621">
      <c r="A621" s="35" t="n">
        <v>46159</v>
      </c>
      <c r="B621" s="2" t="s">
        <v>1163</v>
      </c>
      <c r="C621" s="2" t="s">
        <v>285</v>
      </c>
      <c r="D621" s="2" t="s">
        <v>286</v>
      </c>
      <c r="E621" s="6" t="n">
        <v>1000</v>
      </c>
      <c r="F621" s="7" t="n">
        <v>1</v>
      </c>
      <c r="G621" s="6" t="n">
        <v>11.18</v>
      </c>
      <c r="H621" s="6" t="n">
        <v>1</v>
      </c>
      <c r="I621" s="6" t="n">
        <v>11.18</v>
      </c>
      <c r="J621" s="6" t="n">
        <v>10.18</v>
      </c>
    </row>
    <row collapsed="false" customFormat="false" customHeight="false" hidden="false" ht="12.1" outlineLevel="0" r="622">
      <c r="A622" s="35" t="n">
        <v>46161</v>
      </c>
      <c r="B622" s="2" t="s">
        <v>1163</v>
      </c>
      <c r="C622" s="2" t="s">
        <v>180</v>
      </c>
      <c r="D622" s="2" t="s">
        <v>181</v>
      </c>
      <c r="E622" s="6" t="n">
        <v>1000</v>
      </c>
      <c r="F622" s="7" t="n">
        <v>2</v>
      </c>
      <c r="G622" s="6" t="n">
        <v>18.16</v>
      </c>
      <c r="H622" s="6" t="n">
        <v>5</v>
      </c>
      <c r="I622" s="6" t="n">
        <v>36.32</v>
      </c>
      <c r="J622" s="6" t="n">
        <v>31.32</v>
      </c>
    </row>
    <row collapsed="false" customFormat="false" customHeight="false" hidden="false" ht="12.1" outlineLevel="0" r="623">
      <c r="A623" s="35" t="n">
        <v>46161</v>
      </c>
      <c r="B623" s="2" t="s">
        <v>1163</v>
      </c>
      <c r="C623" s="2" t="s">
        <v>150</v>
      </c>
      <c r="D623" s="2" t="s">
        <v>151</v>
      </c>
      <c r="E623" s="6" t="n">
        <v>1000</v>
      </c>
      <c r="F623" s="7" t="n">
        <v>6</v>
      </c>
      <c r="G623" s="6" t="n">
        <v>15.13</v>
      </c>
      <c r="H623" s="6" t="n">
        <v>12</v>
      </c>
      <c r="I623" s="6" t="n">
        <v>90.78</v>
      </c>
      <c r="J623" s="6" t="n">
        <v>78.78</v>
      </c>
    </row>
    <row collapsed="false" customFormat="false" customHeight="false" hidden="false" ht="12.1" outlineLevel="0" r="624">
      <c r="A624" s="35" t="n">
        <v>46161</v>
      </c>
      <c r="B624" s="2" t="s">
        <v>1163</v>
      </c>
      <c r="C624" s="2" t="s">
        <v>135</v>
      </c>
      <c r="D624" s="2" t="s">
        <v>136</v>
      </c>
      <c r="E624" s="6" t="n">
        <v>1000</v>
      </c>
      <c r="F624" s="7" t="n">
        <v>10</v>
      </c>
      <c r="G624" s="6" t="n">
        <v>36.15</v>
      </c>
      <c r="H624" s="6" t="n">
        <v>47</v>
      </c>
      <c r="I624" s="6" t="n">
        <v>361.5</v>
      </c>
      <c r="J624" s="6" t="n">
        <v>314.5</v>
      </c>
    </row>
    <row collapsed="false" customFormat="false" customHeight="false" hidden="false" ht="12.1" outlineLevel="0" r="625">
      <c r="A625" s="35" t="n">
        <v>46162</v>
      </c>
      <c r="B625" s="2" t="s">
        <v>1163</v>
      </c>
      <c r="C625" s="2" t="s">
        <v>311</v>
      </c>
      <c r="D625" s="2" t="s">
        <v>312</v>
      </c>
      <c r="E625" s="6" t="n">
        <v>250</v>
      </c>
      <c r="F625" s="7" t="n">
        <v>1</v>
      </c>
      <c r="G625" s="6" t="n">
        <v>4.33</v>
      </c>
      <c r="H625" s="6" t="n">
        <v>1</v>
      </c>
      <c r="I625" s="6" t="n">
        <v>4.33</v>
      </c>
      <c r="J625" s="6" t="n">
        <v>3.33</v>
      </c>
    </row>
    <row collapsed="false" customFormat="false" customHeight="false" hidden="false" ht="12.1" outlineLevel="0" r="626">
      <c r="A626" s="35" t="n">
        <v>46164</v>
      </c>
      <c r="B626" s="2" t="s">
        <v>1163</v>
      </c>
      <c r="C626" s="2" t="s">
        <v>243</v>
      </c>
      <c r="D626" s="2" t="s">
        <v>244</v>
      </c>
      <c r="E626" s="6" t="n">
        <v>1000</v>
      </c>
      <c r="F626" s="7" t="n">
        <v>1</v>
      </c>
      <c r="G626" s="6" t="n">
        <v>18.75</v>
      </c>
      <c r="H626" s="6" t="n">
        <v>2</v>
      </c>
      <c r="I626" s="6" t="n">
        <v>18.75</v>
      </c>
      <c r="J626" s="6" t="n">
        <v>16.75</v>
      </c>
    </row>
    <row collapsed="false" customFormat="false" customHeight="false" hidden="false" ht="12.1" outlineLevel="0" r="627">
      <c r="A627" s="35" t="n">
        <v>46165</v>
      </c>
      <c r="B627" s="2" t="s">
        <v>1163</v>
      </c>
      <c r="C627" s="2" t="s">
        <v>231</v>
      </c>
      <c r="D627" s="2" t="s">
        <v>232</v>
      </c>
      <c r="E627" s="6" t="n">
        <v>0</v>
      </c>
      <c r="F627" s="7" t="n">
        <v>1</v>
      </c>
      <c r="G627" s="6" t="n">
        <v>19.48</v>
      </c>
      <c r="H627" s="6" t="n">
        <v>3</v>
      </c>
      <c r="I627" s="6" t="n">
        <v>19.48</v>
      </c>
      <c r="J627" s="6" t="n">
        <v>16.48</v>
      </c>
    </row>
    <row collapsed="false" customFormat="false" customHeight="false" hidden="false" ht="12.1" outlineLevel="0" r="628">
      <c r="A628" s="35" t="n">
        <v>46167</v>
      </c>
      <c r="B628" s="2" t="s">
        <v>1163</v>
      </c>
      <c r="C628" s="2" t="s">
        <v>174</v>
      </c>
      <c r="D628" s="2" t="s">
        <v>175</v>
      </c>
      <c r="E628" s="6" t="n">
        <v>1000</v>
      </c>
      <c r="F628" s="7" t="n">
        <v>3</v>
      </c>
      <c r="G628" s="6" t="n">
        <v>24.93</v>
      </c>
      <c r="H628" s="6" t="n">
        <v>10</v>
      </c>
      <c r="I628" s="6" t="n">
        <v>74.79</v>
      </c>
      <c r="J628" s="6" t="n">
        <v>64.79</v>
      </c>
    </row>
    <row collapsed="false" customFormat="false" customHeight="false" hidden="false" ht="12.1" outlineLevel="0" r="629">
      <c r="A629" s="35" t="n">
        <v>46168</v>
      </c>
      <c r="B629" s="2" t="s">
        <v>1163</v>
      </c>
      <c r="C629" s="2" t="s">
        <v>123</v>
      </c>
      <c r="D629" s="2" t="s">
        <v>124</v>
      </c>
      <c r="E629" s="6" t="n">
        <v>1000</v>
      </c>
      <c r="F629" s="7" t="n">
        <v>10</v>
      </c>
      <c r="G629" s="6" t="n">
        <v>47.37</v>
      </c>
      <c r="H629" s="6" t="n">
        <v>62</v>
      </c>
      <c r="I629" s="6" t="n">
        <v>473.7</v>
      </c>
      <c r="J629" s="6" t="n">
        <v>411.7</v>
      </c>
    </row>
    <row collapsed="false" customFormat="false" customHeight="false" hidden="false" ht="12.1" outlineLevel="0" r="630">
      <c r="A630" s="35" t="n">
        <v>46168</v>
      </c>
      <c r="B630" s="2" t="s">
        <v>1163</v>
      </c>
      <c r="C630" s="2" t="s">
        <v>147</v>
      </c>
      <c r="D630" s="2" t="s">
        <v>148</v>
      </c>
      <c r="E630" s="6" t="n">
        <v>1000</v>
      </c>
      <c r="F630" s="7" t="n">
        <v>6</v>
      </c>
      <c r="G630" s="6" t="n">
        <v>61.08</v>
      </c>
      <c r="H630" s="6" t="n">
        <v>48</v>
      </c>
      <c r="I630" s="6" t="n">
        <v>366.48</v>
      </c>
      <c r="J630" s="6" t="n">
        <v>318.48</v>
      </c>
    </row>
    <row collapsed="false" customFormat="false" customHeight="false" hidden="false" ht="12.1" outlineLevel="0" r="631">
      <c r="A631" s="35" t="n">
        <v>46173</v>
      </c>
      <c r="B631" s="2" t="s">
        <v>1163</v>
      </c>
      <c r="C631" s="2" t="s">
        <v>192</v>
      </c>
      <c r="D631" s="2" t="s">
        <v>193</v>
      </c>
      <c r="E631" s="6" t="n">
        <v>1000</v>
      </c>
      <c r="F631" s="7" t="n">
        <v>2</v>
      </c>
      <c r="G631" s="6" t="n">
        <v>19.95</v>
      </c>
      <c r="H631" s="6" t="n">
        <v>5</v>
      </c>
      <c r="I631" s="6" t="n">
        <v>39.9</v>
      </c>
      <c r="J631" s="6" t="n">
        <v>34.9</v>
      </c>
    </row>
    <row collapsed="false" customFormat="false" customHeight="false" hidden="false" ht="12.1" outlineLevel="0" r="632">
      <c r="A632" s="35" t="n">
        <v>46174</v>
      </c>
      <c r="B632" s="2" t="s">
        <v>1163</v>
      </c>
      <c r="C632" s="2" t="s">
        <v>216</v>
      </c>
      <c r="D632" s="2" t="s">
        <v>217</v>
      </c>
      <c r="E632" s="6" t="n">
        <v>0</v>
      </c>
      <c r="F632" s="7" t="n">
        <v>1</v>
      </c>
      <c r="G632" s="6" t="n">
        <v>19.11</v>
      </c>
      <c r="H632" s="6" t="n">
        <v>2</v>
      </c>
      <c r="I632" s="6" t="n">
        <v>19.11</v>
      </c>
      <c r="J632" s="6" t="n">
        <v>17.11</v>
      </c>
    </row>
    <row collapsed="false" customFormat="false" customHeight="false" hidden="false" ht="12.1" outlineLevel="0" r="633">
      <c r="A633" s="35" t="n">
        <v>46174</v>
      </c>
      <c r="B633" s="2" t="s">
        <v>1163</v>
      </c>
      <c r="C633" s="2" t="s">
        <v>255</v>
      </c>
      <c r="D633" s="2" t="s">
        <v>256</v>
      </c>
      <c r="E633" s="6" t="n">
        <v>1000</v>
      </c>
      <c r="F633" s="7" t="n">
        <v>1</v>
      </c>
      <c r="G633" s="6" t="n">
        <v>56.1</v>
      </c>
      <c r="H633" s="6" t="n">
        <v>7</v>
      </c>
      <c r="I633" s="6" t="n">
        <v>56.1</v>
      </c>
      <c r="J633" s="6" t="n">
        <v>49.1</v>
      </c>
    </row>
    <row collapsed="false" customFormat="false" customHeight="false" hidden="false" ht="12.1" outlineLevel="0" r="634">
      <c r="A634" s="35" t="n">
        <v>46175</v>
      </c>
      <c r="B634" s="2" t="s">
        <v>1163</v>
      </c>
      <c r="C634" s="2" t="s">
        <v>102</v>
      </c>
      <c r="D634" s="2" t="s">
        <v>103</v>
      </c>
      <c r="E634" s="6" t="n">
        <v>1000</v>
      </c>
      <c r="F634" s="7" t="n">
        <v>23</v>
      </c>
      <c r="G634" s="6" t="n">
        <v>35.4</v>
      </c>
      <c r="H634" s="6" t="n">
        <v>106</v>
      </c>
      <c r="I634" s="6" t="n">
        <v>814.2</v>
      </c>
      <c r="J634" s="6" t="n">
        <v>708.2</v>
      </c>
    </row>
    <row collapsed="false" customFormat="false" customHeight="false" hidden="false" ht="12.1" outlineLevel="0" r="635">
      <c r="A635" s="35" t="n">
        <v>46175</v>
      </c>
      <c r="B635" s="2" t="s">
        <v>1163</v>
      </c>
      <c r="C635" s="2" t="s">
        <v>129</v>
      </c>
      <c r="D635" s="2" t="s">
        <v>130</v>
      </c>
      <c r="E635" s="6" t="n">
        <v>1000</v>
      </c>
      <c r="F635" s="7" t="n">
        <v>8</v>
      </c>
      <c r="G635" s="6" t="n">
        <v>61.08</v>
      </c>
      <c r="H635" s="6" t="n">
        <v>64</v>
      </c>
      <c r="I635" s="6" t="n">
        <v>488.64</v>
      </c>
      <c r="J635" s="6" t="n">
        <v>424.64</v>
      </c>
    </row>
    <row collapsed="false" customFormat="false" customHeight="false" hidden="false" ht="12.1" outlineLevel="0" r="636">
      <c r="A636" s="35" t="n">
        <v>46175</v>
      </c>
      <c r="B636" s="2" t="s">
        <v>1163</v>
      </c>
      <c r="C636" s="2" t="s">
        <v>120</v>
      </c>
      <c r="D636" s="2" t="s">
        <v>121</v>
      </c>
      <c r="E636" s="6" t="n">
        <v>1000</v>
      </c>
      <c r="F636" s="7" t="n">
        <v>12</v>
      </c>
      <c r="G636" s="6" t="n">
        <v>48.87</v>
      </c>
      <c r="H636" s="6" t="n">
        <v>76</v>
      </c>
      <c r="I636" s="6" t="n">
        <v>586.44</v>
      </c>
      <c r="J636" s="6" t="n">
        <v>510.44</v>
      </c>
    </row>
    <row collapsed="false" customFormat="false" customHeight="false" hidden="false" ht="12.1" outlineLevel="0" r="637">
      <c r="A637" s="35" t="n">
        <v>46176</v>
      </c>
      <c r="B637" s="2" t="s">
        <v>1163</v>
      </c>
      <c r="C637" s="2" t="s">
        <v>240</v>
      </c>
      <c r="D637" s="2" t="s">
        <v>241</v>
      </c>
      <c r="E637" s="6" t="n">
        <v>1000</v>
      </c>
      <c r="F637" s="7" t="n">
        <v>1</v>
      </c>
      <c r="G637" s="6" t="n">
        <v>35.53</v>
      </c>
      <c r="H637" s="6" t="n">
        <v>5</v>
      </c>
      <c r="I637" s="6" t="n">
        <v>35.53</v>
      </c>
      <c r="J637" s="6" t="n">
        <v>30.53</v>
      </c>
    </row>
    <row collapsed="false" customFormat="false" customHeight="false" hidden="false" ht="12.1" outlineLevel="0" r="638">
      <c r="A638" s="35" t="n">
        <v>46184</v>
      </c>
      <c r="B638" s="2" t="s">
        <v>1163</v>
      </c>
      <c r="C638" s="2" t="s">
        <v>210</v>
      </c>
      <c r="D638" s="2" t="s">
        <v>211</v>
      </c>
      <c r="E638" s="6" t="n">
        <v>1000</v>
      </c>
      <c r="F638" s="7" t="n">
        <v>2</v>
      </c>
      <c r="G638" s="6" t="n">
        <v>17.83</v>
      </c>
      <c r="H638" s="6" t="n">
        <v>5</v>
      </c>
      <c r="I638" s="6" t="n">
        <v>35.66</v>
      </c>
      <c r="J638" s="6" t="n">
        <v>30.66</v>
      </c>
    </row>
    <row collapsed="false" customFormat="false" customHeight="false" hidden="false" ht="12.1" outlineLevel="0" r="639">
      <c r="A639" s="35" t="n">
        <v>46188</v>
      </c>
      <c r="B639" s="2" t="s">
        <v>1163</v>
      </c>
      <c r="C639" s="2" t="s">
        <v>222</v>
      </c>
      <c r="D639" s="2" t="s">
        <v>223</v>
      </c>
      <c r="E639" s="6" t="n">
        <v>0</v>
      </c>
      <c r="F639" s="7" t="n">
        <v>1</v>
      </c>
      <c r="G639" s="6" t="n">
        <v>20.96</v>
      </c>
      <c r="H639" s="6" t="n">
        <v>3</v>
      </c>
      <c r="I639" s="6" t="n">
        <v>20.96</v>
      </c>
      <c r="J639" s="6" t="n">
        <v>17.96</v>
      </c>
    </row>
    <row collapsed="false" customFormat="false" customHeight="false" hidden="false" ht="12.1" outlineLevel="0" r="640">
      <c r="A640" s="35" t="n">
        <v>46189</v>
      </c>
      <c r="B640" s="2" t="s">
        <v>1163</v>
      </c>
      <c r="C640" s="2" t="s">
        <v>285</v>
      </c>
      <c r="D640" s="2" t="s">
        <v>286</v>
      </c>
      <c r="E640" s="6" t="n">
        <v>1000</v>
      </c>
      <c r="F640" s="7" t="n">
        <v>1</v>
      </c>
      <c r="G640" s="6" t="n">
        <v>11.18</v>
      </c>
      <c r="H640" s="6" t="n">
        <v>1</v>
      </c>
      <c r="I640" s="6" t="n">
        <v>11.18</v>
      </c>
      <c r="J640" s="6" t="n">
        <v>10.18</v>
      </c>
    </row>
    <row collapsed="false" customFormat="false" customHeight="false" hidden="false" ht="12.1" outlineLevel="0" r="641">
      <c r="A641" s="35" t="n">
        <v>46189</v>
      </c>
      <c r="B641" s="2" t="s">
        <v>1163</v>
      </c>
      <c r="C641" s="2" t="s">
        <v>99</v>
      </c>
      <c r="D641" s="2" t="s">
        <v>100</v>
      </c>
      <c r="E641" s="6" t="n">
        <v>1000</v>
      </c>
      <c r="F641" s="7" t="n">
        <v>14</v>
      </c>
      <c r="G641" s="6" t="n">
        <v>99.33</v>
      </c>
      <c r="H641" s="6" t="n">
        <v>181</v>
      </c>
      <c r="I641" s="6" t="n">
        <v>1390.62</v>
      </c>
      <c r="J641" s="6" t="n">
        <v>1209.62</v>
      </c>
    </row>
    <row collapsed="false" customFormat="false" customHeight="false" hidden="false" ht="12.1" outlineLevel="0" r="642">
      <c r="A642" s="35" t="n">
        <v>46195</v>
      </c>
      <c r="B642" s="2" t="s">
        <v>1163</v>
      </c>
      <c r="C642" s="2" t="s">
        <v>231</v>
      </c>
      <c r="D642" s="2" t="s">
        <v>232</v>
      </c>
      <c r="E642" s="6" t="n">
        <v>-125</v>
      </c>
      <c r="F642" s="7" t="n">
        <v>1</v>
      </c>
      <c r="G642" s="6" t="n">
        <v>17.04</v>
      </c>
      <c r="H642" s="6" t="n">
        <v>2</v>
      </c>
      <c r="I642" s="6" t="n">
        <v>17.04</v>
      </c>
      <c r="J642" s="6" t="n">
        <v>15.04</v>
      </c>
    </row>
    <row collapsed="false" customFormat="false" customHeight="false" hidden="false" ht="12.1" outlineLevel="0" r="643">
      <c r="A643" s="35" t="n">
        <v>46198</v>
      </c>
      <c r="B643" s="2" t="s">
        <v>1163</v>
      </c>
      <c r="C643" s="2" t="s">
        <v>213</v>
      </c>
      <c r="D643" s="2" t="s">
        <v>214</v>
      </c>
      <c r="E643" s="6" t="n">
        <v>500</v>
      </c>
      <c r="F643" s="7" t="n">
        <v>2</v>
      </c>
      <c r="G643" s="6" t="n">
        <v>16.45</v>
      </c>
      <c r="H643" s="6" t="n">
        <v>4</v>
      </c>
      <c r="I643" s="6" t="n">
        <v>32.9</v>
      </c>
      <c r="J643" s="6" t="n">
        <v>28.9</v>
      </c>
    </row>
    <row collapsed="false" customFormat="false" customHeight="false" hidden="false" ht="12.1" outlineLevel="0" r="644">
      <c r="A644" s="35" t="n">
        <v>46204</v>
      </c>
      <c r="B644" s="2" t="s">
        <v>1163</v>
      </c>
      <c r="C644" s="2" t="s">
        <v>216</v>
      </c>
      <c r="D644" s="2" t="s">
        <v>217</v>
      </c>
      <c r="E644" s="6" t="n">
        <v>0</v>
      </c>
      <c r="F644" s="7" t="n">
        <v>1</v>
      </c>
      <c r="G644" s="6" t="n">
        <v>19.11</v>
      </c>
      <c r="H644" s="6" t="n">
        <v>2</v>
      </c>
      <c r="I644" s="6" t="n">
        <v>19.11</v>
      </c>
      <c r="J644" s="6" t="n">
        <v>17.11</v>
      </c>
    </row>
    <row collapsed="false" customFormat="false" customHeight="false" hidden="false" ht="12.1" outlineLevel="0" r="645">
      <c r="A645" s="35" t="n">
        <v>46208</v>
      </c>
      <c r="B645" s="2" t="s">
        <v>1163</v>
      </c>
      <c r="C645" s="2" t="s">
        <v>273</v>
      </c>
      <c r="D645" s="2" t="s">
        <v>274</v>
      </c>
      <c r="E645" s="6" t="n">
        <v>1000</v>
      </c>
      <c r="F645" s="7" t="n">
        <v>1</v>
      </c>
      <c r="G645" s="6" t="n">
        <v>44.88</v>
      </c>
      <c r="H645" s="6" t="n">
        <v>6</v>
      </c>
      <c r="I645" s="6" t="n">
        <v>44.88</v>
      </c>
      <c r="J645" s="6" t="n">
        <v>38.88</v>
      </c>
    </row>
    <row collapsed="false" customFormat="false" customHeight="false" hidden="false" ht="12.1" outlineLevel="0" r="646">
      <c r="A646" s="35" t="n">
        <v>46216</v>
      </c>
      <c r="B646" s="2" t="s">
        <v>1163</v>
      </c>
      <c r="C646" s="2" t="s">
        <v>207</v>
      </c>
      <c r="D646" s="2" t="s">
        <v>208</v>
      </c>
      <c r="E646" s="6" t="n">
        <v>1000</v>
      </c>
      <c r="F646" s="7" t="n">
        <v>2</v>
      </c>
      <c r="G646" s="6" t="n">
        <v>24.93</v>
      </c>
      <c r="H646" s="6" t="n">
        <v>6</v>
      </c>
      <c r="I646" s="6" t="n">
        <v>49.86</v>
      </c>
      <c r="J646" s="6" t="n">
        <v>43.86</v>
      </c>
    </row>
    <row collapsed="false" customFormat="false" customHeight="false" hidden="false" ht="12.1" outlineLevel="0" r="647">
      <c r="A647" s="35" t="n">
        <v>46218</v>
      </c>
      <c r="B647" s="2" t="s">
        <v>1163</v>
      </c>
      <c r="C647" s="2" t="s">
        <v>222</v>
      </c>
      <c r="D647" s="2" t="s">
        <v>223</v>
      </c>
      <c r="E647" s="6" t="n">
        <v>0</v>
      </c>
      <c r="F647" s="7" t="n">
        <v>1</v>
      </c>
      <c r="G647" s="6" t="n">
        <v>20.96</v>
      </c>
      <c r="H647" s="6" t="n">
        <v>3</v>
      </c>
      <c r="I647" s="6" t="n">
        <v>20.96</v>
      </c>
      <c r="J647" s="6" t="n">
        <v>17.96</v>
      </c>
    </row>
    <row collapsed="false" customFormat="false" customHeight="false" hidden="false" ht="12.1" outlineLevel="0" r="648">
      <c r="A648" s="35" t="n">
        <v>46218</v>
      </c>
      <c r="B648" s="2" t="s">
        <v>1163</v>
      </c>
      <c r="C648" s="2" t="s">
        <v>258</v>
      </c>
      <c r="D648" s="2" t="s">
        <v>259</v>
      </c>
      <c r="E648" s="6" t="n">
        <v>1000</v>
      </c>
      <c r="F648" s="7" t="n">
        <v>1</v>
      </c>
      <c r="G648" s="6" t="n">
        <v>50.86</v>
      </c>
      <c r="H648" s="6" t="n">
        <v>7</v>
      </c>
      <c r="I648" s="6" t="n">
        <v>50.86</v>
      </c>
      <c r="J648" s="6" t="n">
        <v>43.86</v>
      </c>
    </row>
    <row collapsed="false" customFormat="false" customHeight="false" hidden="false" ht="12.1" outlineLevel="0" r="649">
      <c r="A649" s="35" t="n">
        <v>46219</v>
      </c>
      <c r="B649" s="2" t="s">
        <v>1163</v>
      </c>
      <c r="C649" s="2" t="s">
        <v>285</v>
      </c>
      <c r="D649" s="2" t="s">
        <v>286</v>
      </c>
      <c r="E649" s="6" t="n">
        <v>750</v>
      </c>
      <c r="F649" s="7" t="n">
        <v>1</v>
      </c>
      <c r="G649" s="6" t="n">
        <v>8.38</v>
      </c>
      <c r="H649" s="6" t="n">
        <v>1</v>
      </c>
      <c r="I649" s="6" t="n">
        <v>8.38</v>
      </c>
      <c r="J649" s="6" t="n">
        <v>7.38</v>
      </c>
    </row>
    <row collapsed="false" customFormat="false" customHeight="false" hidden="false" ht="12.1" outlineLevel="0" r="650">
      <c r="A650" s="35" t="n">
        <v>46224</v>
      </c>
      <c r="B650" s="2" t="s">
        <v>1163</v>
      </c>
      <c r="C650" s="2" t="s">
        <v>270</v>
      </c>
      <c r="D650" s="2" t="s">
        <v>271</v>
      </c>
      <c r="E650" s="6" t="n">
        <v>1000</v>
      </c>
      <c r="F650" s="7" t="n">
        <v>1</v>
      </c>
      <c r="G650" s="6" t="n">
        <v>43.38</v>
      </c>
      <c r="H650" s="6" t="n">
        <v>6</v>
      </c>
      <c r="I650" s="6" t="n">
        <v>43.38</v>
      </c>
      <c r="J650" s="6" t="n">
        <v>37.38</v>
      </c>
    </row>
    <row collapsed="false" customFormat="false" customHeight="false" hidden="false" ht="12.1" outlineLevel="0" r="651">
      <c r="A651" s="35" t="n">
        <v>46225</v>
      </c>
      <c r="B651" s="2" t="s">
        <v>1163</v>
      </c>
      <c r="C651" s="2" t="s">
        <v>231</v>
      </c>
      <c r="D651" s="2" t="s">
        <v>232</v>
      </c>
      <c r="E651" s="6" t="n">
        <v>-125</v>
      </c>
      <c r="F651" s="7" t="n">
        <v>1</v>
      </c>
      <c r="G651" s="6" t="n">
        <v>17.04</v>
      </c>
      <c r="H651" s="6" t="n">
        <v>2</v>
      </c>
      <c r="I651" s="6" t="n">
        <v>17.04</v>
      </c>
      <c r="J651" s="6" t="n">
        <v>15.04</v>
      </c>
    </row>
    <row collapsed="false" customFormat="false" customHeight="false" hidden="false" ht="12.1" outlineLevel="0" r="652">
      <c r="A652" s="35" t="n">
        <v>46230</v>
      </c>
      <c r="B652" s="2" t="s">
        <v>1163</v>
      </c>
      <c r="C652" s="2" t="s">
        <v>189</v>
      </c>
      <c r="D652" s="2" t="s">
        <v>190</v>
      </c>
      <c r="E652" s="6" t="n">
        <v>750</v>
      </c>
      <c r="F652" s="7" t="n">
        <v>2</v>
      </c>
      <c r="G652" s="6" t="n">
        <v>21.88</v>
      </c>
      <c r="H652" s="6" t="n">
        <v>6</v>
      </c>
      <c r="I652" s="6" t="n">
        <v>43.76</v>
      </c>
      <c r="J652" s="6" t="n">
        <v>37.76</v>
      </c>
    </row>
    <row collapsed="false" customFormat="false" customHeight="false" hidden="false" ht="12.1" outlineLevel="0" r="653">
      <c r="A653" s="35" t="n">
        <v>46231</v>
      </c>
      <c r="B653" s="2" t="s">
        <v>1163</v>
      </c>
      <c r="C653" s="2" t="s">
        <v>162</v>
      </c>
      <c r="D653" s="2" t="s">
        <v>163</v>
      </c>
      <c r="E653" s="6" t="n">
        <v>1000</v>
      </c>
      <c r="F653" s="7" t="n">
        <v>4</v>
      </c>
      <c r="G653" s="6" t="n">
        <v>34.41</v>
      </c>
      <c r="H653" s="6" t="n">
        <v>18</v>
      </c>
      <c r="I653" s="6" t="n">
        <v>137.64</v>
      </c>
      <c r="J653" s="6" t="n">
        <v>119.64</v>
      </c>
    </row>
    <row collapsed="false" customFormat="false" customHeight="false" hidden="false" ht="12.1" outlineLevel="0" r="654">
      <c r="A654" s="35" t="n">
        <v>46231</v>
      </c>
      <c r="B654" s="2" t="s">
        <v>1163</v>
      </c>
      <c r="C654" s="2" t="s">
        <v>95</v>
      </c>
      <c r="D654" s="2" t="s">
        <v>97</v>
      </c>
      <c r="E654" s="6" t="n">
        <v>1000</v>
      </c>
      <c r="F654" s="7" t="n">
        <v>31</v>
      </c>
      <c r="G654" s="6" t="n">
        <v>30.42</v>
      </c>
      <c r="H654" s="6" t="n">
        <v>123</v>
      </c>
      <c r="I654" s="6" t="n">
        <v>943.02</v>
      </c>
      <c r="J654" s="6" t="n">
        <v>820.02</v>
      </c>
    </row>
    <row collapsed="false" customFormat="false" customHeight="false" hidden="false" ht="12.1" outlineLevel="0" r="655">
      <c r="A655" s="35" t="n">
        <v>46233</v>
      </c>
      <c r="B655" s="2" t="s">
        <v>1163</v>
      </c>
      <c r="C655" s="2" t="s">
        <v>165</v>
      </c>
      <c r="D655" s="2" t="s">
        <v>166</v>
      </c>
      <c r="E655" s="6" t="n">
        <v>1000</v>
      </c>
      <c r="F655" s="7" t="n">
        <v>3</v>
      </c>
      <c r="G655" s="6" t="n">
        <v>59.84</v>
      </c>
      <c r="H655" s="6" t="n">
        <v>23</v>
      </c>
      <c r="I655" s="6" t="n">
        <v>179.52</v>
      </c>
      <c r="J655" s="6" t="n">
        <v>156.52</v>
      </c>
    </row>
    <row collapsed="false" customFormat="false" customHeight="false" hidden="false" ht="12.1" outlineLevel="0" r="656">
      <c r="A656" s="35" t="n">
        <v>46234</v>
      </c>
      <c r="B656" s="2" t="s">
        <v>1163</v>
      </c>
      <c r="C656" s="2" t="s">
        <v>216</v>
      </c>
      <c r="D656" s="2" t="s">
        <v>217</v>
      </c>
      <c r="E656" s="6" t="n">
        <v>0</v>
      </c>
      <c r="F656" s="7" t="n">
        <v>1</v>
      </c>
      <c r="G656" s="6" t="n">
        <v>19.11</v>
      </c>
      <c r="H656" s="6" t="n">
        <v>2</v>
      </c>
      <c r="I656" s="6" t="n">
        <v>19.11</v>
      </c>
      <c r="J656" s="6" t="n">
        <v>17.11</v>
      </c>
    </row>
    <row collapsed="false" customFormat="false" customHeight="false" hidden="false" ht="12.1" outlineLevel="0" r="657">
      <c r="A657" s="35" t="n">
        <v>46234</v>
      </c>
      <c r="B657" s="2" t="s">
        <v>1163</v>
      </c>
      <c r="C657" s="2" t="s">
        <v>252</v>
      </c>
      <c r="D657" s="2" t="s">
        <v>253</v>
      </c>
      <c r="E657" s="6" t="n">
        <v>1000</v>
      </c>
      <c r="F657" s="7" t="n">
        <v>1</v>
      </c>
      <c r="G657" s="6" t="n">
        <v>53.1</v>
      </c>
      <c r="H657" s="6" t="n">
        <v>7</v>
      </c>
      <c r="I657" s="6" t="n">
        <v>53.1</v>
      </c>
      <c r="J657" s="6" t="n">
        <v>46.1</v>
      </c>
    </row>
    <row collapsed="false" customFormat="false" customHeight="false" hidden="false" ht="12.1" outlineLevel="0" r="658">
      <c r="A658" s="35" t="n">
        <v>46238</v>
      </c>
      <c r="B658" s="2" t="s">
        <v>1163</v>
      </c>
      <c r="C658" s="2" t="s">
        <v>171</v>
      </c>
      <c r="D658" s="2" t="s">
        <v>172</v>
      </c>
      <c r="E658" s="6" t="n">
        <v>1000</v>
      </c>
      <c r="F658" s="7" t="n">
        <v>2</v>
      </c>
      <c r="G658" s="6" t="n">
        <v>20.63</v>
      </c>
      <c r="H658" s="6" t="n">
        <v>5</v>
      </c>
      <c r="I658" s="6" t="n">
        <v>41.26</v>
      </c>
      <c r="J658" s="6" t="n">
        <v>36.26</v>
      </c>
    </row>
    <row collapsed="false" customFormat="false" customHeight="false" hidden="false" ht="12.1" outlineLevel="0" r="659">
      <c r="A659" s="35" t="n">
        <v>46245</v>
      </c>
      <c r="B659" s="2" t="s">
        <v>1163</v>
      </c>
      <c r="C659" s="2" t="s">
        <v>108</v>
      </c>
      <c r="D659" s="2" t="s">
        <v>109</v>
      </c>
      <c r="E659" s="6" t="n">
        <v>1000</v>
      </c>
      <c r="F659" s="7" t="n">
        <v>19</v>
      </c>
      <c r="G659" s="6" t="n">
        <v>34.9</v>
      </c>
      <c r="H659" s="6" t="n">
        <v>86</v>
      </c>
      <c r="I659" s="6" t="n">
        <v>663.1</v>
      </c>
      <c r="J659" s="6" t="n">
        <v>577.1</v>
      </c>
    </row>
    <row collapsed="false" customFormat="false" customHeight="false" hidden="false" ht="12.1" outlineLevel="0" r="660">
      <c r="A660" s="35" t="n">
        <v>46247</v>
      </c>
      <c r="B660" s="2" t="s">
        <v>1163</v>
      </c>
      <c r="C660" s="2" t="s">
        <v>168</v>
      </c>
      <c r="D660" s="2" t="s">
        <v>169</v>
      </c>
      <c r="E660" s="6" t="n">
        <v>1000</v>
      </c>
      <c r="F660" s="7" t="n">
        <v>3</v>
      </c>
      <c r="G660" s="6" t="n">
        <v>51.86</v>
      </c>
      <c r="H660" s="6" t="n">
        <v>20</v>
      </c>
      <c r="I660" s="6" t="n">
        <v>155.58</v>
      </c>
      <c r="J660" s="6" t="n">
        <v>135.58</v>
      </c>
    </row>
    <row collapsed="false" customFormat="false" customHeight="false" hidden="false" ht="12.1" outlineLevel="0" r="661">
      <c r="A661" s="35" t="n">
        <v>46248</v>
      </c>
      <c r="B661" s="2" t="s">
        <v>1163</v>
      </c>
      <c r="C661" s="2" t="s">
        <v>222</v>
      </c>
      <c r="D661" s="2" t="s">
        <v>223</v>
      </c>
      <c r="E661" s="6" t="n">
        <v>0</v>
      </c>
      <c r="F661" s="7" t="n">
        <v>1</v>
      </c>
      <c r="G661" s="6" t="n">
        <v>20.96</v>
      </c>
      <c r="H661" s="6" t="n">
        <v>3</v>
      </c>
      <c r="I661" s="6" t="n">
        <v>20.96</v>
      </c>
      <c r="J661" s="6" t="n">
        <v>17.96</v>
      </c>
    </row>
    <row collapsed="false" customFormat="false" customHeight="false" hidden="false" ht="12.1" outlineLevel="0" r="662">
      <c r="A662" s="35" t="n">
        <v>46249</v>
      </c>
      <c r="B662" s="2" t="s">
        <v>1163</v>
      </c>
      <c r="C662" s="2" t="s">
        <v>285</v>
      </c>
      <c r="D662" s="2" t="s">
        <v>286</v>
      </c>
      <c r="E662" s="6" t="n">
        <v>750</v>
      </c>
      <c r="F662" s="7" t="n">
        <v>1</v>
      </c>
      <c r="G662" s="6" t="n">
        <v>8.38</v>
      </c>
      <c r="H662" s="6" t="n">
        <v>1</v>
      </c>
      <c r="I662" s="6" t="n">
        <v>8.38</v>
      </c>
      <c r="J662" s="6" t="n">
        <v>7.38</v>
      </c>
    </row>
    <row collapsed="false" customFormat="false" customHeight="false" hidden="false" ht="12.1" outlineLevel="0" r="663">
      <c r="A663" s="35" t="n">
        <v>46253</v>
      </c>
      <c r="B663" s="2" t="s">
        <v>1163</v>
      </c>
      <c r="C663" s="2" t="s">
        <v>311</v>
      </c>
      <c r="D663" s="2" t="s">
        <v>312</v>
      </c>
      <c r="E663" s="6" t="n">
        <v>250</v>
      </c>
      <c r="F663" s="7" t="n">
        <v>1</v>
      </c>
      <c r="G663" s="6" t="n">
        <v>4.33</v>
      </c>
      <c r="H663" s="6" t="n">
        <v>1</v>
      </c>
      <c r="I663" s="6" t="n">
        <v>4.33</v>
      </c>
      <c r="J663" s="6" t="n">
        <v>3.33</v>
      </c>
    </row>
    <row collapsed="false" customFormat="false" customHeight="false" hidden="false" ht="12.1" outlineLevel="0" r="664">
      <c r="A664" s="35" t="n">
        <v>46254</v>
      </c>
      <c r="B664" s="2" t="s">
        <v>1163</v>
      </c>
      <c r="C664" s="2" t="s">
        <v>195</v>
      </c>
      <c r="D664" s="2" t="s">
        <v>196</v>
      </c>
      <c r="E664" s="6" t="n">
        <v>1000</v>
      </c>
      <c r="F664" s="7" t="n">
        <v>2</v>
      </c>
      <c r="G664" s="6" t="n">
        <v>44.88</v>
      </c>
      <c r="H664" s="6" t="n">
        <v>12</v>
      </c>
      <c r="I664" s="6" t="n">
        <v>89.76</v>
      </c>
      <c r="J664" s="6" t="n">
        <v>77.76</v>
      </c>
    </row>
    <row collapsed="false" customFormat="false" customHeight="false" hidden="false" ht="12.1" outlineLevel="0" r="665">
      <c r="A665" s="35" t="n">
        <v>46255</v>
      </c>
      <c r="B665" s="2" t="s">
        <v>1163</v>
      </c>
      <c r="C665" s="2" t="s">
        <v>231</v>
      </c>
      <c r="D665" s="2" t="s">
        <v>232</v>
      </c>
      <c r="E665" s="6" t="n">
        <v>-125</v>
      </c>
      <c r="F665" s="7" t="n">
        <v>1</v>
      </c>
      <c r="G665" s="6" t="n">
        <v>17.04</v>
      </c>
      <c r="H665" s="6" t="n">
        <v>2</v>
      </c>
      <c r="I665" s="6" t="n">
        <v>17.04</v>
      </c>
      <c r="J665" s="6" t="n">
        <v>15.04</v>
      </c>
    </row>
    <row collapsed="false" customFormat="false" customHeight="false" hidden="false" ht="12.1" outlineLevel="0" r="666">
      <c r="A666" s="35" t="n">
        <v>46258</v>
      </c>
      <c r="B666" s="2" t="s">
        <v>1163</v>
      </c>
      <c r="C666" s="2" t="s">
        <v>174</v>
      </c>
      <c r="D666" s="2" t="s">
        <v>175</v>
      </c>
      <c r="E666" s="6" t="n">
        <v>1000</v>
      </c>
      <c r="F666" s="7" t="n">
        <v>3</v>
      </c>
      <c r="G666" s="6" t="n">
        <v>24.93</v>
      </c>
      <c r="H666" s="6" t="n">
        <v>10</v>
      </c>
      <c r="I666" s="6" t="n">
        <v>74.79</v>
      </c>
      <c r="J666" s="6" t="n">
        <v>64.79</v>
      </c>
    </row>
    <row collapsed="false" customFormat="false" customHeight="false" hidden="false" ht="12.1" outlineLevel="0" r="667">
      <c r="A667" s="35" t="n">
        <v>46264</v>
      </c>
      <c r="B667" s="2" t="s">
        <v>1163</v>
      </c>
      <c r="C667" s="2" t="s">
        <v>216</v>
      </c>
      <c r="D667" s="2" t="s">
        <v>217</v>
      </c>
      <c r="E667" s="6" t="n">
        <v>0</v>
      </c>
      <c r="F667" s="7" t="n">
        <v>1</v>
      </c>
      <c r="G667" s="6" t="n">
        <v>19.11</v>
      </c>
      <c r="H667" s="6" t="n">
        <v>2</v>
      </c>
      <c r="I667" s="6" t="n">
        <v>19.11</v>
      </c>
      <c r="J667" s="6" t="n">
        <v>17.11</v>
      </c>
    </row>
    <row collapsed="false" customFormat="false" customHeight="false" hidden="false" ht="12.1" outlineLevel="0" r="668">
      <c r="A668" s="35" t="n">
        <v>46266</v>
      </c>
      <c r="B668" s="2" t="s">
        <v>1163</v>
      </c>
      <c r="C668" s="2" t="s">
        <v>159</v>
      </c>
      <c r="D668" s="2" t="s">
        <v>160</v>
      </c>
      <c r="E668" s="6" t="n">
        <v>1000</v>
      </c>
      <c r="F668" s="7" t="n">
        <v>4</v>
      </c>
      <c r="G668" s="6" t="n">
        <v>44.88</v>
      </c>
      <c r="H668" s="6" t="n">
        <v>23</v>
      </c>
      <c r="I668" s="6" t="n">
        <v>179.52</v>
      </c>
      <c r="J668" s="6" t="n">
        <v>156.52</v>
      </c>
    </row>
    <row collapsed="false" customFormat="false" customHeight="false" hidden="false" ht="12.1" outlineLevel="0" r="669">
      <c r="A669" s="35" t="n">
        <v>46266</v>
      </c>
      <c r="B669" s="2" t="s">
        <v>1163</v>
      </c>
      <c r="C669" s="2" t="s">
        <v>225</v>
      </c>
      <c r="D669" s="2" t="s">
        <v>226</v>
      </c>
      <c r="E669" s="6" t="n">
        <v>1000</v>
      </c>
      <c r="F669" s="7" t="n">
        <v>1</v>
      </c>
      <c r="G669" s="6" t="n">
        <v>106.71</v>
      </c>
      <c r="H669" s="6" t="n">
        <v>14</v>
      </c>
      <c r="I669" s="6" t="n">
        <v>106.71</v>
      </c>
      <c r="J669" s="6" t="n">
        <v>92.71</v>
      </c>
    </row>
    <row collapsed="false" customFormat="false" customHeight="false" hidden="false" ht="12.1" outlineLevel="0" r="670">
      <c r="A670" s="35" t="n">
        <v>46267</v>
      </c>
      <c r="B670" s="2" t="s">
        <v>1163</v>
      </c>
      <c r="C670" s="2" t="s">
        <v>240</v>
      </c>
      <c r="D670" s="2" t="s">
        <v>241</v>
      </c>
      <c r="E670" s="6" t="n">
        <v>1000</v>
      </c>
      <c r="F670" s="7" t="n">
        <v>1</v>
      </c>
      <c r="G670" s="6" t="n">
        <v>35.53</v>
      </c>
      <c r="H670" s="6" t="n">
        <v>5</v>
      </c>
      <c r="I670" s="6" t="n">
        <v>35.53</v>
      </c>
      <c r="J670" s="6" t="n">
        <v>30.53</v>
      </c>
    </row>
    <row collapsed="false" customFormat="false" customHeight="false" hidden="false" ht="12.1" outlineLevel="0" r="671">
      <c r="A671" s="35" t="n">
        <v>46275</v>
      </c>
      <c r="B671" s="2" t="s">
        <v>1163</v>
      </c>
      <c r="C671" s="2" t="s">
        <v>210</v>
      </c>
      <c r="D671" s="2" t="s">
        <v>211</v>
      </c>
      <c r="E671" s="6" t="n">
        <v>1000</v>
      </c>
      <c r="F671" s="7" t="n">
        <v>2</v>
      </c>
      <c r="G671" s="6" t="n">
        <v>17.83</v>
      </c>
      <c r="H671" s="6" t="n">
        <v>5</v>
      </c>
      <c r="I671" s="6" t="n">
        <v>35.66</v>
      </c>
      <c r="J671" s="6" t="n">
        <v>30.66</v>
      </c>
    </row>
    <row collapsed="false" customFormat="false" customHeight="false" hidden="false" ht="12.1" outlineLevel="0" r="672">
      <c r="A672" s="35" t="n">
        <v>46278</v>
      </c>
      <c r="B672" s="2" t="s">
        <v>1163</v>
      </c>
      <c r="C672" s="2" t="s">
        <v>222</v>
      </c>
      <c r="D672" s="2" t="s">
        <v>223</v>
      </c>
      <c r="E672" s="6" t="n">
        <v>0</v>
      </c>
      <c r="F672" s="7" t="n">
        <v>1</v>
      </c>
      <c r="G672" s="6" t="n">
        <v>20.96</v>
      </c>
      <c r="H672" s="6" t="n">
        <v>3</v>
      </c>
      <c r="I672" s="6" t="n">
        <v>20.96</v>
      </c>
      <c r="J672" s="6" t="n">
        <v>17.96</v>
      </c>
    </row>
    <row collapsed="false" customFormat="false" customHeight="false" hidden="false" ht="12.1" outlineLevel="0" r="673">
      <c r="A673" s="35" t="n">
        <v>46279</v>
      </c>
      <c r="B673" s="2" t="s">
        <v>1163</v>
      </c>
      <c r="C673" s="2" t="s">
        <v>279</v>
      </c>
      <c r="D673" s="2" t="s">
        <v>280</v>
      </c>
      <c r="E673" s="6" t="n">
        <v>1000</v>
      </c>
      <c r="F673" s="7" t="n">
        <v>1</v>
      </c>
      <c r="G673" s="6" t="n">
        <v>39.39</v>
      </c>
      <c r="H673" s="6" t="n">
        <v>5</v>
      </c>
      <c r="I673" s="6" t="n">
        <v>39.39</v>
      </c>
      <c r="J673" s="6" t="n">
        <v>34.39</v>
      </c>
    </row>
    <row collapsed="false" customFormat="false" customHeight="false" hidden="false" ht="12.1" outlineLevel="0" r="674">
      <c r="A674" s="35" t="n">
        <v>46279</v>
      </c>
      <c r="B674" s="2" t="s">
        <v>1163</v>
      </c>
      <c r="C674" s="2" t="s">
        <v>285</v>
      </c>
      <c r="D674" s="2" t="s">
        <v>286</v>
      </c>
      <c r="E674" s="6" t="n">
        <v>750</v>
      </c>
      <c r="F674" s="7" t="n">
        <v>1</v>
      </c>
      <c r="G674" s="6" t="n">
        <v>8.38</v>
      </c>
      <c r="H674" s="6" t="n">
        <v>1</v>
      </c>
      <c r="I674" s="6" t="n">
        <v>8.38</v>
      </c>
      <c r="J674" s="6" t="n">
        <v>7.38</v>
      </c>
    </row>
    <row collapsed="false" customFormat="false" customHeight="false" hidden="false" ht="12.1" outlineLevel="0" r="675">
      <c r="A675" s="35" t="n">
        <v>46280</v>
      </c>
      <c r="B675" s="2" t="s">
        <v>1163</v>
      </c>
      <c r="C675" s="2" t="s">
        <v>117</v>
      </c>
      <c r="D675" s="2" t="s">
        <v>118</v>
      </c>
      <c r="E675" s="6" t="n">
        <v>1000</v>
      </c>
      <c r="F675" s="7" t="n">
        <v>14</v>
      </c>
      <c r="G675" s="6" t="n">
        <v>29.42</v>
      </c>
      <c r="H675" s="6" t="n">
        <v>54</v>
      </c>
      <c r="I675" s="6" t="n">
        <v>411.88</v>
      </c>
      <c r="J675" s="6" t="n">
        <v>357.88</v>
      </c>
    </row>
    <row collapsed="false" customFormat="false" customHeight="false" hidden="false" ht="12.1" outlineLevel="0" r="676">
      <c r="A676" s="35" t="n">
        <v>46285</v>
      </c>
      <c r="B676" s="2" t="s">
        <v>1163</v>
      </c>
      <c r="C676" s="2" t="s">
        <v>198</v>
      </c>
      <c r="D676" s="2" t="s">
        <v>199</v>
      </c>
      <c r="E676" s="6" t="n">
        <v>1000</v>
      </c>
      <c r="F676" s="7" t="n">
        <v>2</v>
      </c>
      <c r="G676" s="6" t="n">
        <v>45.38</v>
      </c>
      <c r="H676" s="6" t="n">
        <v>12</v>
      </c>
      <c r="I676" s="6" t="n">
        <v>90.76</v>
      </c>
      <c r="J676" s="6" t="n">
        <v>78.76</v>
      </c>
    </row>
    <row collapsed="false" customFormat="false" customHeight="false" hidden="false" ht="12.1" outlineLevel="0" r="677">
      <c r="A677" s="35" t="n">
        <v>46285</v>
      </c>
      <c r="B677" s="2" t="s">
        <v>1163</v>
      </c>
      <c r="C677" s="2" t="s">
        <v>231</v>
      </c>
      <c r="D677" s="2" t="s">
        <v>232</v>
      </c>
      <c r="E677" s="6" t="n">
        <v>-250</v>
      </c>
      <c r="F677" s="7" t="n">
        <v>1</v>
      </c>
      <c r="G677" s="6" t="n">
        <v>14.61</v>
      </c>
      <c r="H677" s="6" t="n">
        <v>2</v>
      </c>
      <c r="I677" s="6" t="n">
        <v>14.61</v>
      </c>
      <c r="J677" s="6" t="n">
        <v>12.61</v>
      </c>
    </row>
    <row collapsed="false" customFormat="false" customHeight="false" hidden="false" ht="12.1" outlineLevel="0" r="678">
      <c r="A678" s="35" t="n">
        <v>46287</v>
      </c>
      <c r="B678" s="2" t="s">
        <v>1163</v>
      </c>
      <c r="C678" s="2" t="s">
        <v>126</v>
      </c>
      <c r="D678" s="2" t="s">
        <v>127</v>
      </c>
      <c r="E678" s="6" t="n">
        <v>1000</v>
      </c>
      <c r="F678" s="7" t="n">
        <v>10</v>
      </c>
      <c r="G678" s="6" t="n">
        <v>42.38</v>
      </c>
      <c r="H678" s="6" t="n">
        <v>55</v>
      </c>
      <c r="I678" s="6" t="n">
        <v>423.8</v>
      </c>
      <c r="J678" s="6" t="n">
        <v>368.8</v>
      </c>
    </row>
    <row collapsed="false" customFormat="false" customHeight="false" hidden="false" ht="12.1" outlineLevel="0" r="679">
      <c r="A679" s="35" t="n">
        <v>46287</v>
      </c>
      <c r="B679" s="2" t="s">
        <v>1163</v>
      </c>
      <c r="C679" s="2" t="s">
        <v>153</v>
      </c>
      <c r="D679" s="2" t="s">
        <v>154</v>
      </c>
      <c r="E679" s="6" t="n">
        <v>1000</v>
      </c>
      <c r="F679" s="7" t="n">
        <v>4</v>
      </c>
      <c r="G679" s="6" t="n">
        <v>17.63</v>
      </c>
      <c r="H679" s="6" t="n">
        <v>9</v>
      </c>
      <c r="I679" s="6" t="n">
        <v>70.52</v>
      </c>
      <c r="J679" s="6" t="n">
        <v>61.52</v>
      </c>
    </row>
    <row collapsed="false" customFormat="false" customHeight="false" hidden="false" ht="12.1" outlineLevel="0" r="680">
      <c r="A680" s="35" t="n">
        <v>46287</v>
      </c>
      <c r="B680" s="2" t="s">
        <v>1163</v>
      </c>
      <c r="C680" s="2" t="s">
        <v>144</v>
      </c>
      <c r="D680" s="2" t="s">
        <v>145</v>
      </c>
      <c r="E680" s="6" t="n">
        <v>1000</v>
      </c>
      <c r="F680" s="7" t="n">
        <v>6</v>
      </c>
      <c r="G680" s="6" t="n">
        <v>59.84</v>
      </c>
      <c r="H680" s="6" t="n">
        <v>47</v>
      </c>
      <c r="I680" s="6" t="n">
        <v>359.04</v>
      </c>
      <c r="J680" s="6" t="n">
        <v>312.04</v>
      </c>
    </row>
    <row collapsed="false" customFormat="false" customHeight="false" hidden="false" ht="12.1" outlineLevel="0" r="681">
      <c r="A681" s="35" t="n">
        <v>46287</v>
      </c>
      <c r="B681" s="2" t="s">
        <v>1163</v>
      </c>
      <c r="C681" s="2" t="s">
        <v>138</v>
      </c>
      <c r="D681" s="2" t="s">
        <v>139</v>
      </c>
      <c r="E681" s="6" t="n">
        <v>1000</v>
      </c>
      <c r="F681" s="7" t="n">
        <v>7</v>
      </c>
      <c r="G681" s="6" t="n">
        <v>56.1</v>
      </c>
      <c r="H681" s="6" t="n">
        <v>51</v>
      </c>
      <c r="I681" s="6" t="n">
        <v>392.7</v>
      </c>
      <c r="J681" s="6" t="n">
        <v>341.7</v>
      </c>
    </row>
    <row collapsed="false" customFormat="false" customHeight="false" hidden="false" ht="12.1" outlineLevel="0" r="682">
      <c r="A682" s="35" t="n">
        <v>46289</v>
      </c>
      <c r="B682" s="2" t="s">
        <v>1163</v>
      </c>
      <c r="C682" s="2" t="s">
        <v>282</v>
      </c>
      <c r="D682" s="2" t="s">
        <v>283</v>
      </c>
      <c r="E682" s="6" t="n">
        <v>1000</v>
      </c>
      <c r="F682" s="7" t="n">
        <v>1</v>
      </c>
      <c r="G682" s="6" t="n">
        <v>52.36</v>
      </c>
      <c r="H682" s="6" t="n">
        <v>7</v>
      </c>
      <c r="I682" s="6" t="n">
        <v>52.36</v>
      </c>
      <c r="J682" s="6" t="n">
        <v>45.36</v>
      </c>
    </row>
    <row collapsed="false" customFormat="false" customHeight="false" hidden="false" ht="12.1" outlineLevel="0" r="683">
      <c r="A683" s="35" t="n">
        <v>46294</v>
      </c>
      <c r="B683" s="2" t="s">
        <v>1163</v>
      </c>
      <c r="C683" s="2" t="s">
        <v>132</v>
      </c>
      <c r="D683" s="2" t="s">
        <v>133</v>
      </c>
      <c r="E683" s="6" t="n">
        <v>1000</v>
      </c>
      <c r="F683" s="7" t="n">
        <v>10</v>
      </c>
      <c r="G683" s="6" t="n">
        <v>38.39</v>
      </c>
      <c r="H683" s="6" t="n">
        <v>50</v>
      </c>
      <c r="I683" s="6" t="n">
        <v>383.9</v>
      </c>
      <c r="J683" s="6" t="n">
        <v>333.9</v>
      </c>
    </row>
    <row collapsed="false" customFormat="false" customHeight="false" hidden="false" ht="12.1" outlineLevel="0" r="684">
      <c r="A684" s="35" t="n">
        <v>46294</v>
      </c>
      <c r="B684" s="2" t="s">
        <v>1163</v>
      </c>
      <c r="C684" s="2" t="s">
        <v>111</v>
      </c>
      <c r="D684" s="2" t="s">
        <v>112</v>
      </c>
      <c r="E684" s="6" t="n">
        <v>1000</v>
      </c>
      <c r="F684" s="7" t="n">
        <v>17</v>
      </c>
      <c r="G684" s="6" t="n">
        <v>38.39</v>
      </c>
      <c r="H684" s="6" t="n">
        <v>85</v>
      </c>
      <c r="I684" s="6" t="n">
        <v>652.63</v>
      </c>
      <c r="J684" s="6" t="n">
        <v>567.63</v>
      </c>
    </row>
    <row collapsed="false" customFormat="false" customHeight="false" hidden="false" ht="12.1" outlineLevel="0" r="685">
      <c r="A685" s="35" t="n">
        <v>46294</v>
      </c>
      <c r="B685" s="2" t="s">
        <v>1163</v>
      </c>
      <c r="C685" s="2" t="s">
        <v>216</v>
      </c>
      <c r="D685" s="2" t="s">
        <v>217</v>
      </c>
      <c r="E685" s="6" t="n">
        <v>0</v>
      </c>
      <c r="F685" s="7" t="n">
        <v>1</v>
      </c>
      <c r="G685" s="6" t="n">
        <v>19.11</v>
      </c>
      <c r="H685" s="6" t="n">
        <v>2</v>
      </c>
      <c r="I685" s="6" t="n">
        <v>19.11</v>
      </c>
      <c r="J685" s="6" t="n">
        <v>17.11</v>
      </c>
    </row>
    <row collapsed="false" customFormat="false" customHeight="false" hidden="false" ht="12.1" outlineLevel="0" r="686">
      <c r="A686" s="35" t="n">
        <v>46301</v>
      </c>
      <c r="B686" s="2" t="s">
        <v>1163</v>
      </c>
      <c r="C686" s="2" t="s">
        <v>141</v>
      </c>
      <c r="D686" s="2" t="s">
        <v>142</v>
      </c>
      <c r="E686" s="6" t="n">
        <v>1000</v>
      </c>
      <c r="F686" s="7" t="n">
        <v>5</v>
      </c>
      <c r="G686" s="6" t="n">
        <v>110.05</v>
      </c>
      <c r="H686" s="6" t="n">
        <v>72</v>
      </c>
      <c r="I686" s="6" t="n">
        <v>550.25</v>
      </c>
      <c r="J686" s="6" t="n">
        <v>478.25</v>
      </c>
    </row>
    <row collapsed="false" customFormat="false" customHeight="false" hidden="false" ht="12.1" outlineLevel="0" r="687">
      <c r="A687" s="35" t="n">
        <v>46301</v>
      </c>
      <c r="B687" s="2" t="s">
        <v>1163</v>
      </c>
      <c r="C687" s="2" t="s">
        <v>156</v>
      </c>
      <c r="D687" s="2" t="s">
        <v>157</v>
      </c>
      <c r="E687" s="6" t="n">
        <v>0</v>
      </c>
      <c r="F687" s="7" t="n">
        <v>4</v>
      </c>
      <c r="G687" s="6" t="n">
        <v>59.84</v>
      </c>
      <c r="H687" s="6" t="n">
        <v>31</v>
      </c>
      <c r="I687" s="6" t="n">
        <v>239.36</v>
      </c>
      <c r="J687" s="6" t="n">
        <v>208.36</v>
      </c>
    </row>
    <row collapsed="false" customFormat="false" customHeight="false" hidden="false" ht="12.1" outlineLevel="0" r="688">
      <c r="A688" s="35" t="n">
        <v>46307</v>
      </c>
      <c r="B688" s="2" t="s">
        <v>1163</v>
      </c>
      <c r="C688" s="2" t="s">
        <v>207</v>
      </c>
      <c r="D688" s="2" t="s">
        <v>208</v>
      </c>
      <c r="E688" s="6" t="n">
        <v>1000</v>
      </c>
      <c r="F688" s="7" t="n">
        <v>2</v>
      </c>
      <c r="G688" s="6" t="n">
        <v>24.93</v>
      </c>
      <c r="H688" s="6" t="n">
        <v>6</v>
      </c>
      <c r="I688" s="6" t="n">
        <v>49.86</v>
      </c>
      <c r="J688" s="6" t="n">
        <v>43.86</v>
      </c>
    </row>
    <row collapsed="false" customFormat="false" customHeight="false" hidden="false" ht="12.1" outlineLevel="0" r="689">
      <c r="A689" s="35" t="n">
        <v>46308</v>
      </c>
      <c r="B689" s="2" t="s">
        <v>1163</v>
      </c>
      <c r="C689" s="2" t="s">
        <v>114</v>
      </c>
      <c r="D689" s="2" t="s">
        <v>115</v>
      </c>
      <c r="E689" s="6" t="n">
        <v>1000</v>
      </c>
      <c r="F689" s="7" t="n">
        <v>13</v>
      </c>
      <c r="G689" s="6" t="n">
        <v>38.15</v>
      </c>
      <c r="H689" s="6" t="n">
        <v>64</v>
      </c>
      <c r="I689" s="6" t="n">
        <v>495.95</v>
      </c>
      <c r="J689" s="6" t="n">
        <v>431.95</v>
      </c>
    </row>
    <row collapsed="false" customFormat="false" customHeight="false" hidden="false" ht="12.1" outlineLevel="0" r="690">
      <c r="A690" s="35" t="n">
        <v>46308</v>
      </c>
      <c r="B690" s="2" t="s">
        <v>1163</v>
      </c>
      <c r="C690" s="2" t="s">
        <v>219</v>
      </c>
      <c r="D690" s="2" t="s">
        <v>220</v>
      </c>
      <c r="E690" s="6" t="n">
        <v>1000</v>
      </c>
      <c r="F690" s="7" t="n">
        <v>1</v>
      </c>
      <c r="G690" s="6" t="n">
        <v>97.23</v>
      </c>
      <c r="H690" s="6" t="n">
        <v>13</v>
      </c>
      <c r="I690" s="6" t="n">
        <v>97.23</v>
      </c>
      <c r="J690" s="6" t="n">
        <v>84.23</v>
      </c>
    </row>
    <row collapsed="false" customFormat="false" customHeight="false" hidden="false" ht="12.1" outlineLevel="0" r="691">
      <c r="A691" s="35" t="n">
        <v>46308</v>
      </c>
      <c r="B691" s="2" t="s">
        <v>1163</v>
      </c>
      <c r="C691" s="2" t="s">
        <v>222</v>
      </c>
      <c r="D691" s="2" t="s">
        <v>223</v>
      </c>
      <c r="E691" s="6" t="n">
        <v>0</v>
      </c>
      <c r="F691" s="7" t="n">
        <v>1</v>
      </c>
      <c r="G691" s="6" t="n">
        <v>20.96</v>
      </c>
      <c r="H691" s="6" t="n">
        <v>3</v>
      </c>
      <c r="I691" s="6" t="n">
        <v>20.96</v>
      </c>
      <c r="J691" s="6" t="n">
        <v>17.96</v>
      </c>
    </row>
    <row collapsed="false" customFormat="false" customHeight="false" hidden="false" ht="12.1" outlineLevel="0" r="692">
      <c r="A692" s="35" t="n">
        <v>46309</v>
      </c>
      <c r="B692" s="2" t="s">
        <v>1163</v>
      </c>
      <c r="C692" s="2" t="s">
        <v>285</v>
      </c>
      <c r="D692" s="2" t="s">
        <v>286</v>
      </c>
      <c r="E692" s="6" t="n">
        <v>500</v>
      </c>
      <c r="F692" s="7" t="n">
        <v>1</v>
      </c>
      <c r="G692" s="6" t="n">
        <v>5.59</v>
      </c>
      <c r="H692" s="6" t="n">
        <v>1</v>
      </c>
      <c r="I692" s="6" t="n">
        <v>5.59</v>
      </c>
      <c r="J692" s="6" t="n">
        <v>4.59</v>
      </c>
    </row>
    <row collapsed="false" customFormat="false" customHeight="false" hidden="false" ht="12.1" outlineLevel="0" r="693">
      <c r="A693" s="35" t="n">
        <v>46315</v>
      </c>
      <c r="B693" s="2" t="s">
        <v>1163</v>
      </c>
      <c r="C693" s="2" t="s">
        <v>231</v>
      </c>
      <c r="D693" s="2" t="s">
        <v>232</v>
      </c>
      <c r="E693" s="6" t="n">
        <v>-250</v>
      </c>
      <c r="F693" s="7" t="n">
        <v>1</v>
      </c>
      <c r="G693" s="6" t="n">
        <v>14.61</v>
      </c>
      <c r="H693" s="6" t="n">
        <v>2</v>
      </c>
      <c r="I693" s="6" t="n">
        <v>14.61</v>
      </c>
      <c r="J693" s="6" t="n">
        <v>12.61</v>
      </c>
    </row>
    <row collapsed="false" customFormat="false" customHeight="false" hidden="false" ht="12.1" outlineLevel="0" r="694">
      <c r="A694" s="35" t="n">
        <v>46321</v>
      </c>
      <c r="B694" s="2" t="s">
        <v>1163</v>
      </c>
      <c r="C694" s="2" t="s">
        <v>189</v>
      </c>
      <c r="D694" s="2" t="s">
        <v>190</v>
      </c>
      <c r="E694" s="6" t="n">
        <v>625</v>
      </c>
      <c r="F694" s="7" t="n">
        <v>2</v>
      </c>
      <c r="G694" s="6" t="n">
        <v>18.23</v>
      </c>
      <c r="H694" s="6" t="n">
        <v>5</v>
      </c>
      <c r="I694" s="6" t="n">
        <v>36.46</v>
      </c>
      <c r="J694" s="6" t="n">
        <v>31.46</v>
      </c>
    </row>
    <row collapsed="false" customFormat="false" customHeight="false" hidden="false" ht="12.1" outlineLevel="0" r="695">
      <c r="A695" s="35" t="n">
        <v>46324</v>
      </c>
      <c r="B695" s="2" t="s">
        <v>1163</v>
      </c>
      <c r="C695" s="2" t="s">
        <v>267</v>
      </c>
      <c r="D695" s="2" t="s">
        <v>268</v>
      </c>
      <c r="E695" s="6" t="n">
        <v>1000</v>
      </c>
      <c r="F695" s="7" t="n">
        <v>1</v>
      </c>
      <c r="G695" s="6" t="n">
        <v>59.19</v>
      </c>
      <c r="H695" s="6" t="n">
        <v>8</v>
      </c>
      <c r="I695" s="6" t="n">
        <v>59.19</v>
      </c>
      <c r="J695" s="6" t="n">
        <v>51.19</v>
      </c>
    </row>
    <row collapsed="false" customFormat="false" customHeight="false" hidden="false" ht="12.1" outlineLevel="0" r="696">
      <c r="A696" s="35" t="n">
        <v>46324</v>
      </c>
      <c r="B696" s="2" t="s">
        <v>1163</v>
      </c>
      <c r="C696" s="2" t="s">
        <v>216</v>
      </c>
      <c r="D696" s="2" t="s">
        <v>217</v>
      </c>
      <c r="E696" s="6" t="n">
        <v>0</v>
      </c>
      <c r="F696" s="7" t="n">
        <v>1</v>
      </c>
      <c r="G696" s="6" t="n">
        <v>19.11</v>
      </c>
      <c r="H696" s="6" t="n">
        <v>2</v>
      </c>
      <c r="I696" s="6" t="n">
        <v>19.11</v>
      </c>
      <c r="J696" s="6" t="n">
        <v>17.11</v>
      </c>
    </row>
    <row collapsed="false" customFormat="false" customHeight="false" hidden="false" ht="12.1" outlineLevel="0" r="697">
      <c r="A697" s="35" t="n">
        <v>46331</v>
      </c>
      <c r="B697" s="2" t="s">
        <v>1163</v>
      </c>
      <c r="C697" s="2" t="s">
        <v>204</v>
      </c>
      <c r="D697" s="2" t="s">
        <v>205</v>
      </c>
      <c r="E697" s="6" t="n">
        <v>1000</v>
      </c>
      <c r="F697" s="7" t="n">
        <v>2</v>
      </c>
      <c r="G697" s="6" t="n">
        <v>45.38</v>
      </c>
      <c r="H697" s="6" t="n">
        <v>12</v>
      </c>
      <c r="I697" s="6" t="n">
        <v>90.76</v>
      </c>
      <c r="J697" s="6" t="n">
        <v>78.76</v>
      </c>
    </row>
    <row collapsed="false" customFormat="false" customHeight="false" hidden="false" ht="12.1" outlineLevel="0" r="698">
      <c r="A698" s="35" t="n">
        <v>46336</v>
      </c>
      <c r="B698" s="2" t="s">
        <v>1163</v>
      </c>
      <c r="C698" s="2" t="s">
        <v>105</v>
      </c>
      <c r="D698" s="2" t="s">
        <v>106</v>
      </c>
      <c r="E698" s="6" t="n">
        <v>1000</v>
      </c>
      <c r="F698" s="7" t="n">
        <v>11</v>
      </c>
      <c r="G698" s="6" t="n">
        <v>112.04</v>
      </c>
      <c r="H698" s="6" t="n">
        <v>160</v>
      </c>
      <c r="I698" s="6" t="n">
        <v>1232.44</v>
      </c>
      <c r="J698" s="6" t="n">
        <v>1072.44</v>
      </c>
    </row>
    <row collapsed="false" customFormat="false" customHeight="false" hidden="false" ht="12.1" outlineLevel="0" r="699">
      <c r="A699" s="35" t="n">
        <v>46338</v>
      </c>
      <c r="B699" s="2" t="s">
        <v>1163</v>
      </c>
      <c r="C699" s="2" t="s">
        <v>222</v>
      </c>
      <c r="D699" s="2" t="s">
        <v>223</v>
      </c>
      <c r="E699" s="6" t="n">
        <v>0</v>
      </c>
      <c r="F699" s="7" t="n">
        <v>1</v>
      </c>
      <c r="G699" s="6" t="n">
        <v>20.96</v>
      </c>
      <c r="H699" s="6" t="n">
        <v>3</v>
      </c>
      <c r="I699" s="6" t="n">
        <v>20.96</v>
      </c>
      <c r="J699" s="6" t="n">
        <v>17.96</v>
      </c>
    </row>
    <row collapsed="false" customFormat="false" customHeight="false" hidden="false" ht="12.1" outlineLevel="0" r="700">
      <c r="A700" s="35" t="n">
        <v>46339</v>
      </c>
      <c r="B700" s="2" t="s">
        <v>1163</v>
      </c>
      <c r="C700" s="2" t="s">
        <v>285</v>
      </c>
      <c r="D700" s="2" t="s">
        <v>286</v>
      </c>
      <c r="E700" s="6" t="n">
        <v>500</v>
      </c>
      <c r="F700" s="7" t="n">
        <v>1</v>
      </c>
      <c r="G700" s="6" t="n">
        <v>5.59</v>
      </c>
      <c r="H700" s="6" t="n">
        <v>1</v>
      </c>
      <c r="I700" s="6" t="n">
        <v>5.59</v>
      </c>
      <c r="J700" s="6" t="n">
        <v>4.59</v>
      </c>
    </row>
    <row collapsed="false" customFormat="false" customHeight="false" hidden="false" ht="12.1" outlineLevel="0" r="701">
      <c r="A701" s="35" t="n">
        <v>46343</v>
      </c>
      <c r="B701" s="2" t="s">
        <v>1163</v>
      </c>
      <c r="C701" s="2" t="s">
        <v>150</v>
      </c>
      <c r="D701" s="2" t="s">
        <v>151</v>
      </c>
      <c r="E701" s="6" t="n">
        <v>1000</v>
      </c>
      <c r="F701" s="7" t="n">
        <v>6</v>
      </c>
      <c r="G701" s="6" t="n">
        <v>15.13</v>
      </c>
      <c r="H701" s="6" t="n">
        <v>12</v>
      </c>
      <c r="I701" s="6" t="n">
        <v>90.78</v>
      </c>
      <c r="J701" s="6" t="n">
        <v>78.78</v>
      </c>
    </row>
    <row collapsed="false" customFormat="false" customHeight="false" hidden="false" ht="12.1" outlineLevel="0" r="702">
      <c r="A702" s="35" t="n">
        <v>46343</v>
      </c>
      <c r="B702" s="2" t="s">
        <v>1163</v>
      </c>
      <c r="C702" s="2" t="s">
        <v>135</v>
      </c>
      <c r="D702" s="2" t="s">
        <v>136</v>
      </c>
      <c r="E702" s="6" t="n">
        <v>1000</v>
      </c>
      <c r="F702" s="7" t="n">
        <v>10</v>
      </c>
      <c r="G702" s="6" t="n">
        <v>36.15</v>
      </c>
      <c r="H702" s="6" t="n">
        <v>47</v>
      </c>
      <c r="I702" s="6" t="n">
        <v>361.5</v>
      </c>
      <c r="J702" s="6" t="n">
        <v>314.5</v>
      </c>
    </row>
    <row collapsed="false" customFormat="false" customHeight="false" hidden="false" ht="12.1" outlineLevel="0" r="703">
      <c r="A703" s="35" t="n">
        <v>46344</v>
      </c>
      <c r="B703" s="2" t="s">
        <v>1163</v>
      </c>
      <c r="C703" s="2" t="s">
        <v>311</v>
      </c>
      <c r="D703" s="2" t="s">
        <v>312</v>
      </c>
      <c r="E703" s="6" t="n">
        <v>250</v>
      </c>
      <c r="F703" s="7" t="n">
        <v>1</v>
      </c>
      <c r="G703" s="6" t="n">
        <v>4.33</v>
      </c>
      <c r="H703" s="6" t="n">
        <v>1</v>
      </c>
      <c r="I703" s="6" t="n">
        <v>4.33</v>
      </c>
      <c r="J703" s="6" t="n">
        <v>3.33</v>
      </c>
    </row>
    <row collapsed="false" customFormat="false" customHeight="false" hidden="false" ht="12.1" outlineLevel="0" r="704">
      <c r="A704" s="35" t="n">
        <v>46345</v>
      </c>
      <c r="B704" s="2" t="s">
        <v>1163</v>
      </c>
      <c r="C704" s="2" t="s">
        <v>231</v>
      </c>
      <c r="D704" s="2" t="s">
        <v>232</v>
      </c>
      <c r="E704" s="6" t="n">
        <v>-250</v>
      </c>
      <c r="F704" s="7" t="n">
        <v>1</v>
      </c>
      <c r="G704" s="6" t="n">
        <v>14.61</v>
      </c>
      <c r="H704" s="6" t="n">
        <v>2</v>
      </c>
      <c r="I704" s="6" t="n">
        <v>14.61</v>
      </c>
      <c r="J704" s="6" t="n">
        <v>12.61</v>
      </c>
    </row>
    <row collapsed="false" customFormat="false" customHeight="false" hidden="false" ht="12.1" outlineLevel="0" r="705">
      <c r="A705" s="35" t="n">
        <v>46349</v>
      </c>
      <c r="B705" s="2" t="s">
        <v>1163</v>
      </c>
      <c r="C705" s="2" t="s">
        <v>174</v>
      </c>
      <c r="D705" s="2" t="s">
        <v>175</v>
      </c>
      <c r="E705" s="6" t="n">
        <v>1000</v>
      </c>
      <c r="F705" s="7" t="n">
        <v>3</v>
      </c>
      <c r="G705" s="6" t="n">
        <v>24.93</v>
      </c>
      <c r="H705" s="6" t="n">
        <v>10</v>
      </c>
      <c r="I705" s="6" t="n">
        <v>74.79</v>
      </c>
      <c r="J705" s="6" t="n">
        <v>64.79</v>
      </c>
    </row>
    <row collapsed="false" customFormat="false" customHeight="false" hidden="false" ht="12.1" outlineLevel="0" r="706">
      <c r="A706" s="35" t="n">
        <v>46350</v>
      </c>
      <c r="B706" s="2" t="s">
        <v>1163</v>
      </c>
      <c r="C706" s="2" t="s">
        <v>147</v>
      </c>
      <c r="D706" s="2" t="s">
        <v>148</v>
      </c>
      <c r="E706" s="6" t="n">
        <v>1000</v>
      </c>
      <c r="F706" s="7" t="n">
        <v>6</v>
      </c>
      <c r="G706" s="6" t="n">
        <v>61.08</v>
      </c>
      <c r="H706" s="6" t="n">
        <v>48</v>
      </c>
      <c r="I706" s="6" t="n">
        <v>366.48</v>
      </c>
      <c r="J706" s="6" t="n">
        <v>318.48</v>
      </c>
    </row>
    <row collapsed="false" customFormat="false" customHeight="false" hidden="false" ht="12.1" outlineLevel="0" r="707">
      <c r="A707" s="35" t="n">
        <v>46350</v>
      </c>
      <c r="B707" s="2" t="s">
        <v>1163</v>
      </c>
      <c r="C707" s="2" t="s">
        <v>123</v>
      </c>
      <c r="D707" s="2" t="s">
        <v>124</v>
      </c>
      <c r="E707" s="6" t="n">
        <v>1000</v>
      </c>
      <c r="F707" s="7" t="n">
        <v>10</v>
      </c>
      <c r="G707" s="6" t="n">
        <v>47.37</v>
      </c>
      <c r="H707" s="6" t="n">
        <v>62</v>
      </c>
      <c r="I707" s="6" t="n">
        <v>473.7</v>
      </c>
      <c r="J707" s="6" t="n">
        <v>411.7</v>
      </c>
    </row>
    <row collapsed="false" customFormat="false" customHeight="false" hidden="false" ht="12.1" outlineLevel="0" r="708">
      <c r="A708" s="35" t="n">
        <v>46354</v>
      </c>
      <c r="B708" s="2" t="s">
        <v>1163</v>
      </c>
      <c r="C708" s="2" t="s">
        <v>216</v>
      </c>
      <c r="D708" s="2" t="s">
        <v>217</v>
      </c>
      <c r="E708" s="6" t="n">
        <v>0</v>
      </c>
      <c r="F708" s="7" t="n">
        <v>1</v>
      </c>
      <c r="G708" s="6" t="n">
        <v>19.11</v>
      </c>
      <c r="H708" s="6" t="n">
        <v>2</v>
      </c>
      <c r="I708" s="6" t="n">
        <v>19.11</v>
      </c>
      <c r="J708" s="6" t="n">
        <v>17.11</v>
      </c>
    </row>
    <row collapsed="false" customFormat="false" customHeight="false" hidden="false" ht="12.1" outlineLevel="0" r="709">
      <c r="A709" s="35" t="n">
        <v>46356</v>
      </c>
      <c r="B709" s="2" t="s">
        <v>1163</v>
      </c>
      <c r="C709" s="2" t="s">
        <v>255</v>
      </c>
      <c r="D709" s="2" t="s">
        <v>256</v>
      </c>
      <c r="E709" s="6" t="n">
        <v>1000</v>
      </c>
      <c r="F709" s="7" t="n">
        <v>1</v>
      </c>
      <c r="G709" s="6" t="n">
        <v>56.1</v>
      </c>
      <c r="H709" s="6" t="n">
        <v>7</v>
      </c>
      <c r="I709" s="6" t="n">
        <v>56.1</v>
      </c>
      <c r="J709" s="6" t="n">
        <v>49.1</v>
      </c>
    </row>
    <row collapsed="false" customFormat="false" customHeight="false" hidden="false" ht="12.1" outlineLevel="0" r="710">
      <c r="A710" s="35" t="n">
        <v>46357</v>
      </c>
      <c r="B710" s="2" t="s">
        <v>1163</v>
      </c>
      <c r="C710" s="2" t="s">
        <v>120</v>
      </c>
      <c r="D710" s="2" t="s">
        <v>121</v>
      </c>
      <c r="E710" s="6" t="n">
        <v>1000</v>
      </c>
      <c r="F710" s="7" t="n">
        <v>12</v>
      </c>
      <c r="G710" s="6" t="n">
        <v>48.87</v>
      </c>
      <c r="H710" s="6" t="n">
        <v>76</v>
      </c>
      <c r="I710" s="6" t="n">
        <v>586.44</v>
      </c>
      <c r="J710" s="6" t="n">
        <v>510.44</v>
      </c>
    </row>
    <row collapsed="false" customFormat="false" customHeight="false" hidden="false" ht="12.1" outlineLevel="0" r="711">
      <c r="A711" s="35" t="n">
        <v>46357</v>
      </c>
      <c r="B711" s="2" t="s">
        <v>1163</v>
      </c>
      <c r="C711" s="2" t="s">
        <v>102</v>
      </c>
      <c r="D711" s="2" t="s">
        <v>103</v>
      </c>
      <c r="E711" s="6" t="n">
        <v>1000</v>
      </c>
      <c r="F711" s="7" t="n">
        <v>23</v>
      </c>
      <c r="G711" s="6" t="n">
        <v>35.4</v>
      </c>
      <c r="H711" s="6" t="n">
        <v>106</v>
      </c>
      <c r="I711" s="6" t="n">
        <v>814.2</v>
      </c>
      <c r="J711" s="6" t="n">
        <v>708.2</v>
      </c>
    </row>
    <row collapsed="false" customFormat="false" customHeight="false" hidden="false" ht="12.1" outlineLevel="0" r="712">
      <c r="A712" s="35" t="n">
        <v>46357</v>
      </c>
      <c r="B712" s="2" t="s">
        <v>1163</v>
      </c>
      <c r="C712" s="2" t="s">
        <v>129</v>
      </c>
      <c r="D712" s="2" t="s">
        <v>130</v>
      </c>
      <c r="E712" s="6" t="n">
        <v>1000</v>
      </c>
      <c r="F712" s="7" t="n">
        <v>8</v>
      </c>
      <c r="G712" s="6" t="n">
        <v>61.08</v>
      </c>
      <c r="H712" s="6" t="n">
        <v>64</v>
      </c>
      <c r="I712" s="6" t="n">
        <v>488.64</v>
      </c>
      <c r="J712" s="6" t="n">
        <v>424.64</v>
      </c>
    </row>
    <row collapsed="false" customFormat="false" customHeight="false" hidden="false" ht="12.1" outlineLevel="0" r="713">
      <c r="A713" s="35" t="n">
        <v>46358</v>
      </c>
      <c r="B713" s="2" t="s">
        <v>1163</v>
      </c>
      <c r="C713" s="2" t="s">
        <v>240</v>
      </c>
      <c r="D713" s="2" t="s">
        <v>241</v>
      </c>
      <c r="E713" s="6" t="n">
        <v>1000</v>
      </c>
      <c r="F713" s="7" t="n">
        <v>1</v>
      </c>
      <c r="G713" s="6" t="n">
        <v>35.53</v>
      </c>
      <c r="H713" s="6" t="n">
        <v>5</v>
      </c>
      <c r="I713" s="6" t="n">
        <v>35.53</v>
      </c>
      <c r="J713" s="6" t="n">
        <v>30.53</v>
      </c>
    </row>
    <row collapsed="false" customFormat="false" customHeight="false" hidden="false" ht="12.1" outlineLevel="0" r="714">
      <c r="A714" s="35" t="n">
        <v>46366</v>
      </c>
      <c r="B714" s="2" t="s">
        <v>1163</v>
      </c>
      <c r="C714" s="2" t="s">
        <v>210</v>
      </c>
      <c r="D714" s="2" t="s">
        <v>211</v>
      </c>
      <c r="E714" s="6" t="n">
        <v>1000</v>
      </c>
      <c r="F714" s="7" t="n">
        <v>2</v>
      </c>
      <c r="G714" s="6" t="n">
        <v>17.83</v>
      </c>
      <c r="H714" s="6" t="n">
        <v>5</v>
      </c>
      <c r="I714" s="6" t="n">
        <v>35.66</v>
      </c>
      <c r="J714" s="6" t="n">
        <v>30.66</v>
      </c>
    </row>
    <row collapsed="false" customFormat="false" customHeight="false" hidden="false" ht="12.1" outlineLevel="0" r="715">
      <c r="A715" s="35" t="n">
        <v>46368</v>
      </c>
      <c r="B715" s="2" t="s">
        <v>1163</v>
      </c>
      <c r="C715" s="2" t="s">
        <v>222</v>
      </c>
      <c r="D715" s="2" t="s">
        <v>223</v>
      </c>
      <c r="E715" s="6" t="n">
        <v>0</v>
      </c>
      <c r="F715" s="7" t="n">
        <v>1</v>
      </c>
      <c r="G715" s="6" t="n">
        <v>20.96</v>
      </c>
      <c r="H715" s="6" t="n">
        <v>3</v>
      </c>
      <c r="I715" s="6" t="n">
        <v>20.96</v>
      </c>
      <c r="J715" s="6" t="n">
        <v>17.96</v>
      </c>
    </row>
    <row collapsed="false" customFormat="false" customHeight="false" hidden="false" ht="12.1" outlineLevel="0" r="716">
      <c r="A716" s="35" t="n">
        <v>46369</v>
      </c>
      <c r="B716" s="2" t="s">
        <v>1163</v>
      </c>
      <c r="C716" s="2" t="s">
        <v>285</v>
      </c>
      <c r="D716" s="2" t="s">
        <v>286</v>
      </c>
      <c r="E716" s="6" t="n">
        <v>500</v>
      </c>
      <c r="F716" s="7" t="n">
        <v>1</v>
      </c>
      <c r="G716" s="6" t="n">
        <v>5.59</v>
      </c>
      <c r="H716" s="6" t="n">
        <v>1</v>
      </c>
      <c r="I716" s="6" t="n">
        <v>5.59</v>
      </c>
      <c r="J716" s="6" t="n">
        <v>4.59</v>
      </c>
    </row>
    <row collapsed="false" customFormat="false" customHeight="false" hidden="false" ht="12.1" outlineLevel="0" r="717">
      <c r="A717" s="35" t="n">
        <v>46371</v>
      </c>
      <c r="B717" s="2" t="s">
        <v>1163</v>
      </c>
      <c r="C717" s="2" t="s">
        <v>99</v>
      </c>
      <c r="D717" s="2" t="s">
        <v>100</v>
      </c>
      <c r="E717" s="6" t="n">
        <v>1000</v>
      </c>
      <c r="F717" s="7" t="n">
        <v>14</v>
      </c>
      <c r="G717" s="6" t="n">
        <v>99.33</v>
      </c>
      <c r="H717" s="6" t="n">
        <v>181</v>
      </c>
      <c r="I717" s="6" t="n">
        <v>1390.62</v>
      </c>
      <c r="J717" s="6" t="n">
        <v>1209.62</v>
      </c>
    </row>
    <row collapsed="false" customFormat="false" customHeight="false" hidden="false" ht="12.1" outlineLevel="0" r="718">
      <c r="A718" s="35" t="n">
        <v>46375</v>
      </c>
      <c r="B718" s="2" t="s">
        <v>1163</v>
      </c>
      <c r="C718" s="2" t="s">
        <v>231</v>
      </c>
      <c r="D718" s="2" t="s">
        <v>232</v>
      </c>
      <c r="E718" s="6" t="n">
        <v>-375</v>
      </c>
      <c r="F718" s="7" t="n">
        <v>1</v>
      </c>
      <c r="G718" s="6" t="n">
        <v>12.17</v>
      </c>
      <c r="H718" s="6" t="n">
        <v>2</v>
      </c>
      <c r="I718" s="6" t="n">
        <v>12.17</v>
      </c>
      <c r="J718" s="6" t="n">
        <v>10.17</v>
      </c>
    </row>
    <row collapsed="false" customFormat="false" customHeight="false" hidden="false" ht="12.1" outlineLevel="0" r="719">
      <c r="A719" s="35" t="n">
        <v>46380</v>
      </c>
      <c r="B719" s="2" t="s">
        <v>1163</v>
      </c>
      <c r="C719" s="2" t="s">
        <v>213</v>
      </c>
      <c r="D719" s="2" t="s">
        <v>214</v>
      </c>
      <c r="E719" s="6" t="n">
        <v>300</v>
      </c>
      <c r="F719" s="7" t="n">
        <v>2</v>
      </c>
      <c r="G719" s="6" t="n">
        <v>9.87</v>
      </c>
      <c r="H719" s="6" t="n">
        <v>3</v>
      </c>
      <c r="I719" s="6" t="n">
        <v>19.74</v>
      </c>
      <c r="J719" s="6" t="n">
        <v>16.74</v>
      </c>
    </row>
    <row collapsed="false" customFormat="false" customHeight="false" hidden="false" ht="12.1" outlineLevel="0" r="720">
      <c r="A720" s="35" t="n">
        <v>46384</v>
      </c>
      <c r="B720" s="2" t="s">
        <v>1163</v>
      </c>
      <c r="C720" s="2" t="s">
        <v>216</v>
      </c>
      <c r="D720" s="2" t="s">
        <v>217</v>
      </c>
      <c r="E720" s="6" t="n">
        <v>0</v>
      </c>
      <c r="F720" s="7" t="n">
        <v>1</v>
      </c>
      <c r="G720" s="6" t="n">
        <v>19.11</v>
      </c>
      <c r="H720" s="6" t="n">
        <v>2</v>
      </c>
      <c r="I720" s="6" t="n">
        <v>19.11</v>
      </c>
      <c r="J720" s="6" t="n">
        <v>17.11</v>
      </c>
    </row>
    <row collapsed="false" customFormat="false" customHeight="false" hidden="false" ht="12.1" outlineLevel="0" r="721">
      <c r="A721" s="35" t="n">
        <v>46390</v>
      </c>
      <c r="B721" s="2" t="s">
        <v>1163</v>
      </c>
      <c r="C721" s="2" t="s">
        <v>273</v>
      </c>
      <c r="D721" s="2" t="s">
        <v>274</v>
      </c>
      <c r="E721" s="6" t="n">
        <v>1000</v>
      </c>
      <c r="F721" s="7" t="n">
        <v>1</v>
      </c>
      <c r="G721" s="6" t="n">
        <v>44.88</v>
      </c>
      <c r="H721" s="6" t="n">
        <v>6</v>
      </c>
      <c r="I721" s="6" t="n">
        <v>44.88</v>
      </c>
      <c r="J721" s="6" t="n">
        <v>38.88</v>
      </c>
    </row>
  </sheetData>
  <autoFilter ref="A1:J7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328</v>
      </c>
      <c r="B1" s="34" t="s">
        <v>1153</v>
      </c>
      <c r="C1" s="34" t="s">
        <v>0</v>
      </c>
      <c r="D1" s="34" t="s">
        <v>2</v>
      </c>
      <c r="E1" s="34" t="s">
        <v>1154</v>
      </c>
      <c r="F1" s="34" t="s">
        <v>1172</v>
      </c>
      <c r="G1" s="34" t="s">
        <v>1173</v>
      </c>
      <c r="H1" s="34" t="s">
        <v>333</v>
      </c>
      <c r="I1" s="34" t="s">
        <v>1174</v>
      </c>
      <c r="J1" s="34" t="s">
        <v>1157</v>
      </c>
      <c r="K1" s="34" t="s">
        <v>1175</v>
      </c>
      <c r="L1" s="34" t="s">
        <v>1176</v>
      </c>
      <c r="M1" s="34" t="s">
        <v>1177</v>
      </c>
      <c r="N1" s="34" t="s">
        <v>1178</v>
      </c>
    </row>
    <row collapsed="false" customFormat="false" customHeight="false" hidden="false" ht="12.1" outlineLevel="0" r="2">
      <c r="A2" s="36" t="n">
        <v>44910</v>
      </c>
      <c r="B2" s="2" t="s">
        <v>1163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903</v>
      </c>
      <c r="J2" s="17" t="n">
        <v>136.207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44950</v>
      </c>
      <c r="B3" s="2" t="s">
        <v>1163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863</v>
      </c>
      <c r="J3" s="17" t="n">
        <v>154.753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44984</v>
      </c>
      <c r="B4" s="2" t="s">
        <v>1163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829</v>
      </c>
      <c r="J4" s="17" t="n">
        <v>169.868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45056</v>
      </c>
      <c r="B5" s="2" t="s">
        <v>1163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757</v>
      </c>
      <c r="J5" s="17" t="n">
        <v>222.355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45056</v>
      </c>
      <c r="B6" s="2" t="s">
        <v>1163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757</v>
      </c>
      <c r="J6" s="17" t="n">
        <v>222.315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45198</v>
      </c>
      <c r="B7" s="2" t="s">
        <v>1163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615</v>
      </c>
      <c r="J7" s="17" t="n">
        <v>261.522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45219</v>
      </c>
      <c r="B8" s="2" t="s">
        <v>1163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594</v>
      </c>
      <c r="J8" s="17" t="n">
        <v>268.072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45244</v>
      </c>
      <c r="B9" s="2" t="s">
        <v>1163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569</v>
      </c>
      <c r="J9" s="17" t="n">
        <v>283.829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45267</v>
      </c>
      <c r="B10" s="2" t="s">
        <v>1163</v>
      </c>
      <c r="C10" s="2" t="s">
        <v>17</v>
      </c>
      <c r="D10" s="2" t="s">
        <v>19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546</v>
      </c>
      <c r="J10" s="17" t="n">
        <v>268.784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45324</v>
      </c>
      <c r="B11" s="2" t="s">
        <v>1163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489</v>
      </c>
      <c r="J11" s="17" t="n">
        <v>277.66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45324</v>
      </c>
      <c r="B12" s="2" t="s">
        <v>1163</v>
      </c>
      <c r="C12" s="2" t="s">
        <v>17</v>
      </c>
      <c r="D12" s="2" t="s">
        <v>19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489</v>
      </c>
      <c r="J12" s="17" t="n">
        <v>277.38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45324</v>
      </c>
      <c r="B13" s="2" t="s">
        <v>1163</v>
      </c>
      <c r="C13" s="2" t="s">
        <v>17</v>
      </c>
      <c r="D13" s="2" t="s">
        <v>19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489</v>
      </c>
      <c r="J13" s="17" t="n">
        <v>277.5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45418</v>
      </c>
      <c r="B14" s="2" t="s">
        <v>1163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395</v>
      </c>
      <c r="J14" s="17" t="n">
        <v>308.242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45597</v>
      </c>
      <c r="B15" s="2" t="s">
        <v>1163</v>
      </c>
      <c r="C15" s="2" t="s">
        <v>17</v>
      </c>
      <c r="D15" s="2" t="s">
        <v>19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216</v>
      </c>
      <c r="J15" s="17" t="n">
        <v>235.755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45639</v>
      </c>
      <c r="B16" s="2" t="s">
        <v>1163</v>
      </c>
      <c r="C16" s="2" t="s">
        <v>17</v>
      </c>
      <c r="D16" s="2" t="s">
        <v>19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174</v>
      </c>
      <c r="J16" s="17" t="n">
        <v>228.975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45639</v>
      </c>
      <c r="B17" s="2" t="s">
        <v>1163</v>
      </c>
      <c r="C17" s="2" t="s">
        <v>22</v>
      </c>
      <c r="D17" s="2" t="s">
        <v>23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</v>
      </c>
      <c r="J17" s="17" t="n">
        <v>2295.87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45751</v>
      </c>
      <c r="B18" s="2" t="s">
        <v>1163</v>
      </c>
      <c r="C18" s="2" t="s">
        <v>22</v>
      </c>
      <c r="D18" s="2" t="s">
        <v>23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62</v>
      </c>
      <c r="J18" s="17" t="n">
        <v>3222.0366666667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45751</v>
      </c>
      <c r="B19" s="2" t="s">
        <v>1163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62</v>
      </c>
      <c r="J19" s="17" t="n">
        <v>3225.65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45776</v>
      </c>
      <c r="B20" s="2" t="s">
        <v>1163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37</v>
      </c>
      <c r="J20" s="17" t="n">
        <v>3286.23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45001</v>
      </c>
      <c r="B21" s="2" t="s">
        <v>1163</v>
      </c>
      <c r="C21" s="2" t="s">
        <v>25</v>
      </c>
      <c r="D21" s="2" t="s">
        <v>26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812</v>
      </c>
      <c r="J21" s="17" t="n">
        <v>921.506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44929</v>
      </c>
      <c r="B22" s="2" t="s">
        <v>1163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884</v>
      </c>
      <c r="J22" s="17" t="n">
        <v>141.965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44984</v>
      </c>
      <c r="B23" s="2" t="s">
        <v>1163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829</v>
      </c>
      <c r="J23" s="17" t="n">
        <v>167.882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45418</v>
      </c>
      <c r="B24" s="2" t="s">
        <v>1163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395</v>
      </c>
      <c r="J24" s="17" t="n">
        <v>307.831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44769</v>
      </c>
      <c r="B25" s="2" t="s">
        <v>1163</v>
      </c>
      <c r="C25" s="2" t="s">
        <v>31</v>
      </c>
      <c r="D25" s="2" t="s">
        <v>32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1044</v>
      </c>
      <c r="J25" s="17" t="n">
        <v>197.651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45418</v>
      </c>
      <c r="B26" s="2" t="s">
        <v>1163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395</v>
      </c>
      <c r="J26" s="17" t="n">
        <v>155.906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45418</v>
      </c>
      <c r="B27" s="2" t="s">
        <v>1163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395</v>
      </c>
      <c r="J27" s="17" t="n">
        <v>155.876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45506</v>
      </c>
      <c r="B28" s="2" t="s">
        <v>1163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307</v>
      </c>
      <c r="J28" s="17" t="n">
        <v>132.356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45597</v>
      </c>
      <c r="B29" s="2" t="s">
        <v>1163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216</v>
      </c>
      <c r="J29" s="17" t="n">
        <v>123.67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45729</v>
      </c>
      <c r="B30" s="2" t="s">
        <v>1163</v>
      </c>
      <c r="C30" s="2" t="s">
        <v>31</v>
      </c>
      <c r="D30" s="2" t="s">
        <v>32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84</v>
      </c>
      <c r="J30" s="17" t="n">
        <v>164.422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44769</v>
      </c>
      <c r="B31" s="2" t="s">
        <v>1163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1044</v>
      </c>
      <c r="J31" s="17" t="n">
        <v>394.48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45597</v>
      </c>
      <c r="B32" s="2" t="s">
        <v>1163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216</v>
      </c>
      <c r="J32" s="17" t="n">
        <v>540.52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45639</v>
      </c>
      <c r="B33" s="2" t="s">
        <v>1163</v>
      </c>
      <c r="C33" s="2" t="s">
        <v>34</v>
      </c>
      <c r="D33" s="2" t="s">
        <v>35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174</v>
      </c>
      <c r="J33" s="17" t="n">
        <v>562.98333333333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45639</v>
      </c>
      <c r="B34" s="2" t="s">
        <v>1163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174</v>
      </c>
      <c r="J34" s="17" t="n">
        <v>563.79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45729</v>
      </c>
      <c r="B35" s="2" t="s">
        <v>1163</v>
      </c>
      <c r="C35" s="2" t="s">
        <v>34</v>
      </c>
      <c r="D35" s="2" t="s">
        <v>35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84</v>
      </c>
      <c r="J35" s="17" t="n">
        <v>697.19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44761</v>
      </c>
      <c r="B36" s="2" t="s">
        <v>1163</v>
      </c>
      <c r="C36" s="2" t="s">
        <v>37</v>
      </c>
      <c r="D36" s="2" t="s">
        <v>38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1052</v>
      </c>
      <c r="J36" s="17" t="n">
        <v>753.75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45324</v>
      </c>
      <c r="B37" s="2" t="s">
        <v>1163</v>
      </c>
      <c r="C37" s="2" t="s">
        <v>37</v>
      </c>
      <c r="D37" s="2" t="s">
        <v>38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489</v>
      </c>
      <c r="J37" s="17" t="n">
        <v>728.28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45356</v>
      </c>
      <c r="B38" s="2" t="s">
        <v>1163</v>
      </c>
      <c r="C38" s="2" t="s">
        <v>37</v>
      </c>
      <c r="D38" s="2" t="s">
        <v>38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457</v>
      </c>
      <c r="J38" s="17" t="n">
        <v>894.975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45418</v>
      </c>
      <c r="B39" s="2" t="s">
        <v>1163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395</v>
      </c>
      <c r="J39" s="17" t="n">
        <v>837.405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45506</v>
      </c>
      <c r="B40" s="2" t="s">
        <v>1163</v>
      </c>
      <c r="C40" s="2" t="s">
        <v>37</v>
      </c>
      <c r="D40" s="2" t="s">
        <v>38</v>
      </c>
      <c r="E40" s="17" t="n">
        <v>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307</v>
      </c>
      <c r="J40" s="17" t="n">
        <v>753.4525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44984</v>
      </c>
      <c r="B41" s="2" t="s">
        <v>1163</v>
      </c>
      <c r="C41" s="2" t="s">
        <v>40</v>
      </c>
      <c r="D41" s="2" t="s">
        <v>41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829</v>
      </c>
      <c r="J41" s="17" t="n">
        <v>116.147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45506</v>
      </c>
      <c r="B42" s="2" t="s">
        <v>1163</v>
      </c>
      <c r="C42" s="2" t="s">
        <v>40</v>
      </c>
      <c r="D42" s="2" t="s">
        <v>41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307</v>
      </c>
      <c r="J42" s="17" t="n">
        <v>229.366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45729</v>
      </c>
      <c r="B43" s="2" t="s">
        <v>1163</v>
      </c>
      <c r="C43" s="2" t="s">
        <v>40</v>
      </c>
      <c r="D43" s="2" t="s">
        <v>41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84</v>
      </c>
      <c r="J43" s="17" t="n">
        <v>209.878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45085</v>
      </c>
      <c r="B44" s="2" t="s">
        <v>1163</v>
      </c>
      <c r="C44" s="2" t="s">
        <v>43</v>
      </c>
      <c r="D44" s="2" t="s">
        <v>44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728</v>
      </c>
      <c r="J44" s="17" t="n">
        <v>33.42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44769</v>
      </c>
      <c r="B45" s="2" t="s">
        <v>1163</v>
      </c>
      <c r="C45" s="2" t="s">
        <v>46</v>
      </c>
      <c r="D45" s="2" t="s">
        <v>47</v>
      </c>
      <c r="E45" s="17" t="n">
        <v>100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1044</v>
      </c>
      <c r="J45" s="17" t="n">
        <v>3.3159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44984</v>
      </c>
      <c r="B46" s="2" t="s">
        <v>1163</v>
      </c>
      <c r="C46" s="2" t="s">
        <v>46</v>
      </c>
      <c r="D46" s="2" t="s">
        <v>47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829</v>
      </c>
      <c r="J46" s="17" t="n">
        <v>3.4217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45026</v>
      </c>
      <c r="B47" s="2" t="s">
        <v>1163</v>
      </c>
      <c r="C47" s="2" t="s">
        <v>46</v>
      </c>
      <c r="D47" s="2" t="s">
        <v>47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787</v>
      </c>
      <c r="J47" s="17" t="n">
        <v>3.851</v>
      </c>
      <c r="K47" s="6" t="s">
        <f>=Портфель!F11*Портфель!$Q$13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45198</v>
      </c>
      <c r="B48" s="2" t="s">
        <v>1163</v>
      </c>
      <c r="C48" s="2" t="s">
        <v>46</v>
      </c>
      <c r="D48" s="2" t="s">
        <v>47</v>
      </c>
      <c r="E48" s="17" t="n">
        <v>100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615</v>
      </c>
      <c r="J48" s="17" t="n">
        <v>4.2994</v>
      </c>
      <c r="K48" s="6" t="s">
        <f>=Портфель!F11*Портфель!$Q$13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45219</v>
      </c>
      <c r="B49" s="2" t="s">
        <v>1163</v>
      </c>
      <c r="C49" s="2" t="s">
        <v>46</v>
      </c>
      <c r="D49" s="2" t="s">
        <v>47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594</v>
      </c>
      <c r="J49" s="17" t="n">
        <v>4.43075</v>
      </c>
      <c r="K49" s="6" t="s">
        <f>=Портфель!F11*Портфель!$Q$13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45244</v>
      </c>
      <c r="B50" s="2" t="s">
        <v>1163</v>
      </c>
      <c r="C50" s="2" t="s">
        <v>46</v>
      </c>
      <c r="D50" s="2" t="s">
        <v>47</v>
      </c>
      <c r="E50" s="17" t="n">
        <v>100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569</v>
      </c>
      <c r="J50" s="17" t="n">
        <v>4.2828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45324</v>
      </c>
      <c r="B51" s="2" t="s">
        <v>1163</v>
      </c>
      <c r="C51" s="2" t="s">
        <v>46</v>
      </c>
      <c r="D51" s="2" t="s">
        <v>47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489</v>
      </c>
      <c r="J51" s="17" t="n">
        <v>4.0652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45356</v>
      </c>
      <c r="B52" s="2" t="s">
        <v>1163</v>
      </c>
      <c r="C52" s="2" t="s">
        <v>46</v>
      </c>
      <c r="D52" s="2" t="s">
        <v>47</v>
      </c>
      <c r="E52" s="17" t="n">
        <v>100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457</v>
      </c>
      <c r="J52" s="17" t="n">
        <v>4.0777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45506</v>
      </c>
      <c r="B53" s="2" t="s">
        <v>1163</v>
      </c>
      <c r="C53" s="2" t="s">
        <v>46</v>
      </c>
      <c r="D53" s="2" t="s">
        <v>47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307</v>
      </c>
      <c r="J53" s="17" t="n">
        <v>3.8024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45541</v>
      </c>
      <c r="B54" s="2" t="s">
        <v>1163</v>
      </c>
      <c r="C54" s="2" t="s">
        <v>46</v>
      </c>
      <c r="D54" s="2" t="s">
        <v>47</v>
      </c>
      <c r="E54" s="17" t="n">
        <v>100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272</v>
      </c>
      <c r="J54" s="17" t="n">
        <v>3.6399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45597</v>
      </c>
      <c r="B55" s="2" t="s">
        <v>1163</v>
      </c>
      <c r="C55" s="2" t="s">
        <v>46</v>
      </c>
      <c r="D55" s="2" t="s">
        <v>47</v>
      </c>
      <c r="E55" s="17" t="n">
        <v>100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216</v>
      </c>
      <c r="J55" s="17" t="n">
        <v>3.8094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45639</v>
      </c>
      <c r="B56" s="2" t="s">
        <v>1163</v>
      </c>
      <c r="C56" s="2" t="s">
        <v>46</v>
      </c>
      <c r="D56" s="2" t="s">
        <v>47</v>
      </c>
      <c r="E56" s="17" t="n">
        <v>100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174</v>
      </c>
      <c r="J56" s="17" t="n">
        <v>3.5948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44748</v>
      </c>
      <c r="B57" s="2" t="s">
        <v>1163</v>
      </c>
      <c r="C57" s="2" t="s">
        <v>49</v>
      </c>
      <c r="D57" s="2" t="s">
        <v>50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1065</v>
      </c>
      <c r="J57" s="17" t="n">
        <v>94.91</v>
      </c>
      <c r="K57" s="6" t="s">
        <f>=Портфель!F12*Портфель!$Q$13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44984</v>
      </c>
      <c r="B58" s="2" t="s">
        <v>1163</v>
      </c>
      <c r="C58" s="2" t="s">
        <v>49</v>
      </c>
      <c r="D58" s="2" t="s">
        <v>50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829</v>
      </c>
      <c r="J58" s="17" t="n">
        <v>82.37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45026</v>
      </c>
      <c r="B59" s="2" t="s">
        <v>1163</v>
      </c>
      <c r="C59" s="2" t="s">
        <v>49</v>
      </c>
      <c r="D59" s="2" t="s">
        <v>50</v>
      </c>
      <c r="E59" s="17" t="n">
        <v>6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787</v>
      </c>
      <c r="J59" s="17" t="n">
        <v>94.758333333333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45198</v>
      </c>
      <c r="B60" s="2" t="s">
        <v>1163</v>
      </c>
      <c r="C60" s="2" t="s">
        <v>49</v>
      </c>
      <c r="D60" s="2" t="s">
        <v>50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615</v>
      </c>
      <c r="J60" s="17" t="n">
        <v>129.035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45219</v>
      </c>
      <c r="B61" s="2" t="s">
        <v>1163</v>
      </c>
      <c r="C61" s="2" t="s">
        <v>49</v>
      </c>
      <c r="D61" s="2" t="s">
        <v>50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594</v>
      </c>
      <c r="J61" s="17" t="n">
        <v>130.24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45324</v>
      </c>
      <c r="B62" s="2" t="s">
        <v>1163</v>
      </c>
      <c r="C62" s="2" t="s">
        <v>49</v>
      </c>
      <c r="D62" s="2" t="s">
        <v>50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489</v>
      </c>
      <c r="J62" s="17" t="n">
        <v>123.07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45356</v>
      </c>
      <c r="B63" s="2" t="s">
        <v>1163</v>
      </c>
      <c r="C63" s="2" t="s">
        <v>49</v>
      </c>
      <c r="D63" s="2" t="s">
        <v>50</v>
      </c>
      <c r="E63" s="17" t="n">
        <v>4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457</v>
      </c>
      <c r="J63" s="17" t="n">
        <v>118.93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45541</v>
      </c>
      <c r="B64" s="2" t="s">
        <v>1163</v>
      </c>
      <c r="C64" s="2" t="s">
        <v>49</v>
      </c>
      <c r="D64" s="2" t="s">
        <v>50</v>
      </c>
      <c r="E64" s="17" t="n">
        <v>8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272</v>
      </c>
      <c r="J64" s="17" t="n">
        <v>87.37125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45729</v>
      </c>
      <c r="B65" s="2" t="s">
        <v>1163</v>
      </c>
      <c r="C65" s="2" t="s">
        <v>49</v>
      </c>
      <c r="D65" s="2" t="s">
        <v>50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84</v>
      </c>
      <c r="J65" s="17" t="n">
        <v>89.237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45198</v>
      </c>
      <c r="B66" s="2" t="s">
        <v>1163</v>
      </c>
      <c r="C66" s="2" t="s">
        <v>52</v>
      </c>
      <c r="D66" s="2" t="s">
        <v>53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615</v>
      </c>
      <c r="J66" s="17" t="n">
        <v>276.176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45597</v>
      </c>
      <c r="B67" s="2" t="s">
        <v>1163</v>
      </c>
      <c r="C67" s="2" t="s">
        <v>52</v>
      </c>
      <c r="D67" s="2" t="s">
        <v>53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216</v>
      </c>
      <c r="J67" s="17" t="n">
        <v>183.699</v>
      </c>
      <c r="K67" s="6" t="s">
        <f>=Портфель!F13*Портфель!$Q$13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44984</v>
      </c>
      <c r="B68" s="2" t="s">
        <v>1163</v>
      </c>
      <c r="C68" s="2" t="s">
        <v>54</v>
      </c>
      <c r="D68" s="2" t="s">
        <v>55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829</v>
      </c>
      <c r="J68" s="17" t="n">
        <v>28.325</v>
      </c>
      <c r="K68" s="6" t="s">
        <f>=Портфель!F14*Портфель!$Q$13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45104</v>
      </c>
      <c r="B69" s="2" t="s">
        <v>1163</v>
      </c>
      <c r="C69" s="2" t="s">
        <v>54</v>
      </c>
      <c r="D69" s="2" t="s">
        <v>55</v>
      </c>
      <c r="E69" s="17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709</v>
      </c>
      <c r="J69" s="17" t="n">
        <v>42.006</v>
      </c>
      <c r="K69" s="6" t="s">
        <f>=Портфель!F14*Портфель!$Q$13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45219</v>
      </c>
      <c r="B70" s="2" t="s">
        <v>1163</v>
      </c>
      <c r="C70" s="2" t="s">
        <v>54</v>
      </c>
      <c r="D70" s="2" t="s">
        <v>55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594</v>
      </c>
      <c r="J70" s="17" t="n">
        <v>40.672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45356</v>
      </c>
      <c r="B71" s="2" t="s">
        <v>1163</v>
      </c>
      <c r="C71" s="2" t="s">
        <v>54</v>
      </c>
      <c r="D71" s="2" t="s">
        <v>55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457</v>
      </c>
      <c r="J71" s="17" t="n">
        <v>40.341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45541</v>
      </c>
      <c r="B72" s="2" t="s">
        <v>1163</v>
      </c>
      <c r="C72" s="2" t="s">
        <v>54</v>
      </c>
      <c r="D72" s="2" t="s">
        <v>55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272</v>
      </c>
      <c r="J72" s="17" t="n">
        <v>47.963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45639</v>
      </c>
      <c r="B73" s="2" t="s">
        <v>1163</v>
      </c>
      <c r="C73" s="2" t="s">
        <v>54</v>
      </c>
      <c r="D73" s="2" t="s">
        <v>55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174</v>
      </c>
      <c r="J73" s="17" t="n">
        <v>47.853</v>
      </c>
      <c r="K73" s="6" t="s">
        <f>=Портфель!F14*Портфель!$Q$13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45639</v>
      </c>
      <c r="B74" s="2" t="s">
        <v>1163</v>
      </c>
      <c r="C74" s="2" t="s">
        <v>57</v>
      </c>
      <c r="D74" s="2" t="s">
        <v>58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174</v>
      </c>
      <c r="J74" s="17" t="n">
        <v>307.028</v>
      </c>
      <c r="K74" s="6" t="s">
        <f>=Портфель!F15*Портфель!$Q$13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44929</v>
      </c>
      <c r="B75" s="2" t="s">
        <v>1163</v>
      </c>
      <c r="C75" s="2" t="s">
        <v>60</v>
      </c>
      <c r="D75" s="2" t="s">
        <v>61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884</v>
      </c>
      <c r="J75" s="17" t="n">
        <v>12.0831</v>
      </c>
      <c r="K75" s="6" t="s">
        <f>=Портфель!F16*Портфель!$Q$13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45541</v>
      </c>
      <c r="B76" s="2" t="s">
        <v>1163</v>
      </c>
      <c r="C76" s="2" t="s">
        <v>60</v>
      </c>
      <c r="D76" s="2" t="s">
        <v>61</v>
      </c>
      <c r="E76" s="17" t="n">
        <v>100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272</v>
      </c>
      <c r="J76" s="17" t="n">
        <v>16.1272</v>
      </c>
      <c r="K76" s="6" t="s">
        <f>=Портфель!F16*Портфель!$Q$13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45035</v>
      </c>
      <c r="B77" s="2" t="s">
        <v>1163</v>
      </c>
      <c r="C77" s="2" t="s">
        <v>63</v>
      </c>
      <c r="D77" s="2" t="s">
        <v>64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778</v>
      </c>
      <c r="J77" s="17" t="n">
        <v>63.811</v>
      </c>
      <c r="K77" s="6" t="s">
        <f>=Портфель!F17*Портфель!$Q$13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45104</v>
      </c>
      <c r="B78" s="2" t="s">
        <v>1163</v>
      </c>
      <c r="C78" s="2" t="s">
        <v>63</v>
      </c>
      <c r="D78" s="2" t="s">
        <v>64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709</v>
      </c>
      <c r="J78" s="17" t="n">
        <v>72.818</v>
      </c>
      <c r="K78" s="6" t="s">
        <f>=Портфель!F17*Портфель!$Q$13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45324</v>
      </c>
      <c r="B79" s="2" t="s">
        <v>1163</v>
      </c>
      <c r="C79" s="2" t="s">
        <v>63</v>
      </c>
      <c r="D79" s="2" t="s">
        <v>64</v>
      </c>
      <c r="E79" s="17" t="n">
        <v>10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489</v>
      </c>
      <c r="J79" s="17" t="n">
        <v>76.549</v>
      </c>
      <c r="K79" s="6" t="s">
        <f>=Портфель!F17*Портфель!$Q$13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45506</v>
      </c>
      <c r="B80" s="2" t="s">
        <v>1163</v>
      </c>
      <c r="C80" s="2" t="s">
        <v>63</v>
      </c>
      <c r="D80" s="2" t="s">
        <v>64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307</v>
      </c>
      <c r="J80" s="17" t="n">
        <v>82.537</v>
      </c>
      <c r="K80" s="6" t="s">
        <f>=Портфель!F17*Портфель!$Q$13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45639</v>
      </c>
      <c r="B81" s="2" t="s">
        <v>1163</v>
      </c>
      <c r="C81" s="2" t="s">
        <v>63</v>
      </c>
      <c r="D81" s="2" t="s">
        <v>64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174</v>
      </c>
      <c r="J81" s="17" t="n">
        <v>51.173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45597</v>
      </c>
      <c r="B82" s="2" t="s">
        <v>1163</v>
      </c>
      <c r="C82" s="2" t="s">
        <v>66</v>
      </c>
      <c r="D82" s="2" t="s">
        <v>67</v>
      </c>
      <c r="E82" s="17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216</v>
      </c>
      <c r="J82" s="17" t="n">
        <v>284.651</v>
      </c>
      <c r="K82" s="6" t="s">
        <f>=Портфель!F18*Портфель!$Q$13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44858</v>
      </c>
      <c r="B83" s="2" t="s">
        <v>1163</v>
      </c>
      <c r="C83" s="2" t="s">
        <v>68</v>
      </c>
      <c r="D83" s="2" t="s">
        <v>69</v>
      </c>
      <c r="E83" s="17" t="n">
        <v>100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955</v>
      </c>
      <c r="J83" s="17" t="n">
        <v>6.2647</v>
      </c>
      <c r="K83" s="6" t="s">
        <f>=Портфель!F19*Портфель!$Q$13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45198</v>
      </c>
      <c r="B84" s="2" t="s">
        <v>1163</v>
      </c>
      <c r="C84" s="2" t="s">
        <v>68</v>
      </c>
      <c r="D84" s="2" t="s">
        <v>69</v>
      </c>
      <c r="E84" s="17" t="n">
        <v>100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615</v>
      </c>
      <c r="J84" s="17" t="n">
        <v>7.1825</v>
      </c>
      <c r="K84" s="6" t="s">
        <f>=Портфель!F19*Портфель!$Q$13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45324</v>
      </c>
      <c r="B85" s="2" t="s">
        <v>1163</v>
      </c>
      <c r="C85" s="2" t="s">
        <v>68</v>
      </c>
      <c r="D85" s="2" t="s">
        <v>69</v>
      </c>
      <c r="E85" s="17" t="n">
        <v>100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489</v>
      </c>
      <c r="J85" s="17" t="n">
        <v>7.8304</v>
      </c>
      <c r="K85" s="6" t="s">
        <f>=Портфель!F19*Портфель!$Q$13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45597</v>
      </c>
      <c r="B86" s="2" t="s">
        <v>1163</v>
      </c>
      <c r="C86" s="2" t="s">
        <v>68</v>
      </c>
      <c r="D86" s="2" t="s">
        <v>69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216</v>
      </c>
      <c r="J86" s="17" t="n">
        <v>5.8696</v>
      </c>
      <c r="K86" s="6" t="s">
        <f>=Портфель!F19*Портфель!$Q$13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44999</v>
      </c>
      <c r="B87" s="2" t="s">
        <v>1163</v>
      </c>
      <c r="C87" s="2" t="s">
        <v>70</v>
      </c>
      <c r="D87" s="2" t="s">
        <v>71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814</v>
      </c>
      <c r="J87" s="17" t="n">
        <v>22.3268</v>
      </c>
      <c r="K87" s="6" t="s">
        <f>=Портфель!F20*Портфель!$Q$13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45471</v>
      </c>
      <c r="B88" s="2" t="s">
        <v>1163</v>
      </c>
      <c r="C88" s="2" t="s">
        <v>72</v>
      </c>
      <c r="D88" s="2" t="s">
        <v>73</v>
      </c>
      <c r="E88" s="17" t="n">
        <v>1000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342</v>
      </c>
      <c r="J88" s="17" t="n">
        <v>3.13889</v>
      </c>
      <c r="K88" s="6" t="s">
        <f>=Портфель!F21*Портфель!$Q$13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6" t="n">
        <v>45418</v>
      </c>
      <c r="B89" s="2" t="s">
        <v>1163</v>
      </c>
      <c r="C89" s="2" t="s">
        <v>74</v>
      </c>
      <c r="D89" s="2" t="s">
        <v>75</v>
      </c>
      <c r="E89" s="17" t="n">
        <v>10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395</v>
      </c>
      <c r="J89" s="17" t="n">
        <v>154.121</v>
      </c>
      <c r="K89" s="6" t="s">
        <f>=Портфель!F22*Портфель!$Q$13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6" t="n">
        <v>45541</v>
      </c>
      <c r="B90" s="2" t="s">
        <v>1163</v>
      </c>
      <c r="C90" s="2" t="s">
        <v>74</v>
      </c>
      <c r="D90" s="2" t="s">
        <v>75</v>
      </c>
      <c r="E90" s="17" t="n">
        <v>10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272</v>
      </c>
      <c r="J90" s="17" t="n">
        <v>105.656</v>
      </c>
      <c r="K90" s="6" t="s">
        <f>=Портфель!F22*Портфель!$Q$13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6" t="n">
        <v>45324</v>
      </c>
      <c r="B91" s="2" t="s">
        <v>1163</v>
      </c>
      <c r="C91" s="2" t="s">
        <v>76</v>
      </c>
      <c r="D91" s="2" t="s">
        <v>77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489</v>
      </c>
      <c r="J91" s="17" t="n">
        <v>142.115</v>
      </c>
      <c r="K91" s="6" t="s">
        <f>=Портфель!F23*Портфель!$Q$13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6" t="n">
        <v>45541</v>
      </c>
      <c r="B92" s="2" t="s">
        <v>1163</v>
      </c>
      <c r="C92" s="2" t="s">
        <v>76</v>
      </c>
      <c r="D92" s="2" t="s">
        <v>77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272</v>
      </c>
      <c r="J92" s="17" t="n">
        <v>90.32</v>
      </c>
      <c r="K92" s="6" t="s">
        <f>=Портфель!F23*Портфель!$Q$13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6" t="n">
        <v>45244</v>
      </c>
      <c r="B93" s="2" t="s">
        <v>1163</v>
      </c>
      <c r="C93" s="2" t="s">
        <v>78</v>
      </c>
      <c r="D93" s="2" t="s">
        <v>79</v>
      </c>
      <c r="E93" s="17" t="n">
        <v>1000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569</v>
      </c>
      <c r="J93" s="17" t="n">
        <v>2.23769</v>
      </c>
      <c r="K93" s="6" t="s">
        <f>=Портфель!F24*Портфель!$Q$13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6" t="n">
        <v>45104</v>
      </c>
      <c r="B94" s="2" t="s">
        <v>1163</v>
      </c>
      <c r="C94" s="2" t="s">
        <v>80</v>
      </c>
      <c r="D94" s="2" t="s">
        <v>81</v>
      </c>
      <c r="E94" s="17" t="n">
        <v>10000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709</v>
      </c>
      <c r="J94" s="17" t="n">
        <v>0.1004</v>
      </c>
      <c r="K94" s="6" t="s">
        <f>=Портфель!F25*Портфель!$Q$13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6" t="n">
        <v>45356</v>
      </c>
      <c r="B95" s="2" t="s">
        <v>1163</v>
      </c>
      <c r="C95" s="2" t="s">
        <v>80</v>
      </c>
      <c r="D95" s="2" t="s">
        <v>81</v>
      </c>
      <c r="E95" s="17" t="n">
        <v>10000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457</v>
      </c>
      <c r="J95" s="17" t="n">
        <v>0.12359</v>
      </c>
      <c r="K95" s="6" t="s">
        <f>=Портфель!F25*Портфель!$Q$13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6" t="n">
        <v>45729</v>
      </c>
      <c r="B96" s="2" t="s">
        <v>1163</v>
      </c>
      <c r="C96" s="2" t="s">
        <v>82</v>
      </c>
      <c r="D96" s="2" t="s">
        <v>83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84</v>
      </c>
      <c r="J96" s="17" t="n">
        <v>155.405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6" t="n">
        <v>44742</v>
      </c>
      <c r="B97" s="2" t="s">
        <v>1163</v>
      </c>
      <c r="C97" s="2" t="s">
        <v>84</v>
      </c>
      <c r="D97" s="2" t="s">
        <v>85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1071</v>
      </c>
      <c r="J97" s="17" t="n">
        <v>1031.08</v>
      </c>
      <c r="K97" s="6" t="s">
        <f>=Портфель!F27*Портфель!$Q$13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6" t="n">
        <v>44699</v>
      </c>
      <c r="B98" s="2" t="s">
        <v>1163</v>
      </c>
      <c r="C98" s="2" t="s">
        <v>86</v>
      </c>
      <c r="D98" s="2" t="s">
        <v>87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1114</v>
      </c>
      <c r="J98" s="17" t="n">
        <v>45.456</v>
      </c>
      <c r="K98" s="6" t="s">
        <f>=Портфель!F28*Портфель!$Q$13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6" t="n">
        <v>44746</v>
      </c>
      <c r="B99" s="2" t="s">
        <v>1163</v>
      </c>
      <c r="C99" s="2" t="s">
        <v>86</v>
      </c>
      <c r="D99" s="2" t="s">
        <v>87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1067</v>
      </c>
      <c r="J99" s="17" t="n">
        <v>32.131</v>
      </c>
      <c r="K99" s="6" t="s">
        <f>=Портфель!F28*Портфель!$Q$13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6" t="n">
        <v>44776</v>
      </c>
      <c r="B100" s="2" t="s">
        <v>1163</v>
      </c>
      <c r="C100" s="2" t="s">
        <v>86</v>
      </c>
      <c r="D100" s="2" t="s">
        <v>87</v>
      </c>
      <c r="E100" s="17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1037</v>
      </c>
      <c r="J100" s="17" t="n">
        <v>24.343</v>
      </c>
      <c r="K100" s="6" t="s">
        <f>=Портфель!F28*Портфель!$Q$13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6" t="n">
        <v>44858</v>
      </c>
      <c r="B101" s="2" t="s">
        <v>1163</v>
      </c>
      <c r="C101" s="2" t="s">
        <v>88</v>
      </c>
      <c r="D101" s="2" t="s">
        <v>89</v>
      </c>
      <c r="E101" s="17" t="n">
        <v>1000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955</v>
      </c>
      <c r="J101" s="17" t="n">
        <v>0.74573</v>
      </c>
      <c r="K101" s="6" t="s">
        <f>=Портфель!F29*Портфель!$Q$13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6" t="n">
        <v>45506</v>
      </c>
      <c r="B102" s="2" t="s">
        <v>1163</v>
      </c>
      <c r="C102" s="2" t="s">
        <v>88</v>
      </c>
      <c r="D102" s="2" t="s">
        <v>89</v>
      </c>
      <c r="E102" s="17" t="n">
        <v>1000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307</v>
      </c>
      <c r="J102" s="17" t="n">
        <v>0.59889</v>
      </c>
      <c r="K102" s="6" t="s">
        <f>=Портфель!F29*Портфель!$Q$13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6" t="n">
        <v>45471</v>
      </c>
      <c r="B103" s="2" t="s">
        <v>1163</v>
      </c>
      <c r="C103" s="2" t="s">
        <v>90</v>
      </c>
      <c r="D103" s="2" t="s">
        <v>91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342</v>
      </c>
      <c r="J103" s="17" t="n">
        <v>42.181</v>
      </c>
      <c r="K103" s="6" t="s">
        <f>=Портфель!F30*Портфель!$Q$13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6" t="n">
        <v>45541</v>
      </c>
      <c r="B104" s="2" t="s">
        <v>1163</v>
      </c>
      <c r="C104" s="2" t="s">
        <v>90</v>
      </c>
      <c r="D104" s="2" t="s">
        <v>91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272</v>
      </c>
      <c r="J104" s="17" t="n">
        <v>30.21</v>
      </c>
      <c r="K104" s="6" t="s">
        <f>=Портфель!F30*Портфель!$Q$13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6" t="n">
        <v>45471</v>
      </c>
      <c r="B105" s="2" t="s">
        <v>1163</v>
      </c>
      <c r="C105" s="2" t="s">
        <v>92</v>
      </c>
      <c r="D105" s="2" t="s">
        <v>93</v>
      </c>
      <c r="E105" s="17" t="n">
        <v>10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342</v>
      </c>
      <c r="J105" s="17" t="n">
        <v>70.722</v>
      </c>
      <c r="K105" s="6" t="s">
        <f>=Портфель!F31*Портфель!$Q$13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6" t="n">
        <v>44708</v>
      </c>
      <c r="B106" s="2" t="s">
        <v>1163</v>
      </c>
      <c r="C106" s="2" t="s">
        <v>95</v>
      </c>
      <c r="D106" s="2" t="s">
        <v>97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1105</v>
      </c>
      <c r="J106" s="17" t="n">
        <v>786.84</v>
      </c>
      <c r="K106" s="6" t="s">
        <f>=Портфель!F33*Портфель!G33/100*Портфель!$Q$13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6" t="n">
        <v>44868</v>
      </c>
      <c r="B107" s="2" t="s">
        <v>1163</v>
      </c>
      <c r="C107" s="2" t="s">
        <v>95</v>
      </c>
      <c r="D107" s="2" t="s">
        <v>97</v>
      </c>
      <c r="E107" s="17" t="n">
        <v>1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945</v>
      </c>
      <c r="J107" s="17" t="n">
        <v>742.71</v>
      </c>
      <c r="K107" s="6" t="s">
        <f>=Портфель!F33*Портфель!G33/100*Портфель!$Q$13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6" t="n">
        <v>45061</v>
      </c>
      <c r="B108" s="2" t="s">
        <v>1163</v>
      </c>
      <c r="C108" s="2" t="s">
        <v>95</v>
      </c>
      <c r="D108" s="2" t="s">
        <v>97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752</v>
      </c>
      <c r="J108" s="17" t="n">
        <v>731.95</v>
      </c>
      <c r="K108" s="6" t="s">
        <f>=Портфель!F33*Портфель!G33/100*Портфель!$Q$13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6" t="n">
        <v>45075</v>
      </c>
      <c r="B109" s="2" t="s">
        <v>1163</v>
      </c>
      <c r="C109" s="2" t="s">
        <v>95</v>
      </c>
      <c r="D109" s="2" t="s">
        <v>97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738</v>
      </c>
      <c r="J109" s="17" t="n">
        <v>733.46</v>
      </c>
      <c r="K109" s="6" t="s">
        <f>=Портфель!F33*Портфель!G33/100*Портфель!$Q$13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6" t="n">
        <v>45085</v>
      </c>
      <c r="B110" s="2" t="s">
        <v>1163</v>
      </c>
      <c r="C110" s="2" t="s">
        <v>95</v>
      </c>
      <c r="D110" s="2" t="s">
        <v>97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728</v>
      </c>
      <c r="J110" s="17" t="n">
        <v>731.555</v>
      </c>
      <c r="K110" s="6" t="s">
        <f>=Портфель!F33*Портфель!G33/100*Портфель!$Q$13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6" t="n">
        <v>45104</v>
      </c>
      <c r="B111" s="2" t="s">
        <v>1163</v>
      </c>
      <c r="C111" s="2" t="s">
        <v>95</v>
      </c>
      <c r="D111" s="2" t="s">
        <v>97</v>
      </c>
      <c r="E111" s="17" t="n">
        <v>2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709</v>
      </c>
      <c r="J111" s="17" t="n">
        <v>726.88</v>
      </c>
      <c r="K111" s="6" t="s">
        <f>=Портфель!F33*Портфель!G33/100*Портфель!$Q$13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6" t="n">
        <v>45114</v>
      </c>
      <c r="B112" s="2" t="s">
        <v>1163</v>
      </c>
      <c r="C112" s="2" t="s">
        <v>95</v>
      </c>
      <c r="D112" s="2" t="s">
        <v>97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699</v>
      </c>
      <c r="J112" s="17" t="n">
        <v>724.67</v>
      </c>
      <c r="K112" s="6" t="s">
        <f>=Портфель!F33*Портфель!G33/100*Портфель!$Q$13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6" t="n">
        <v>45147</v>
      </c>
      <c r="B113" s="2" t="s">
        <v>1163</v>
      </c>
      <c r="C113" s="2" t="s">
        <v>95</v>
      </c>
      <c r="D113" s="2" t="s">
        <v>97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666</v>
      </c>
      <c r="J113" s="17" t="n">
        <v>690.59</v>
      </c>
      <c r="K113" s="6" t="s">
        <f>=Портфель!F33*Портфель!G33/100*Портфель!$Q$13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6" t="n">
        <v>45184</v>
      </c>
      <c r="B114" s="2" t="s">
        <v>1163</v>
      </c>
      <c r="C114" s="2" t="s">
        <v>95</v>
      </c>
      <c r="D114" s="2" t="s">
        <v>97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629</v>
      </c>
      <c r="J114" s="17" t="n">
        <v>676.34</v>
      </c>
      <c r="K114" s="6" t="s">
        <f>=Портфель!F33*Портфель!G33/100*Портфель!$Q$13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6" t="n">
        <v>45184</v>
      </c>
      <c r="B115" s="2" t="s">
        <v>1163</v>
      </c>
      <c r="C115" s="2" t="s">
        <v>95</v>
      </c>
      <c r="D115" s="2" t="s">
        <v>97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629</v>
      </c>
      <c r="J115" s="17" t="n">
        <v>676.34</v>
      </c>
      <c r="K115" s="6" t="s">
        <f>=Портфель!F33*Портфель!G33/100*Портфель!$Q$13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6" t="n">
        <v>45184</v>
      </c>
      <c r="B116" s="2" t="s">
        <v>1163</v>
      </c>
      <c r="C116" s="2" t="s">
        <v>95</v>
      </c>
      <c r="D116" s="2" t="s">
        <v>97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629</v>
      </c>
      <c r="J116" s="17" t="n">
        <v>676.34</v>
      </c>
      <c r="K116" s="6" t="s">
        <f>=Портфель!F33*Портфель!G33/100*Портфель!$Q$13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6" t="n">
        <v>45240</v>
      </c>
      <c r="B117" s="2" t="s">
        <v>1163</v>
      </c>
      <c r="C117" s="2" t="s">
        <v>95</v>
      </c>
      <c r="D117" s="2" t="s">
        <v>97</v>
      </c>
      <c r="E117" s="17" t="n">
        <v>2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573</v>
      </c>
      <c r="J117" s="17" t="n">
        <v>685.85</v>
      </c>
      <c r="K117" s="6" t="s">
        <f>=Портфель!F33*Портфель!G33/100*Портфель!$Q$13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6" t="n">
        <v>45267</v>
      </c>
      <c r="B118" s="2" t="s">
        <v>1163</v>
      </c>
      <c r="C118" s="2" t="s">
        <v>95</v>
      </c>
      <c r="D118" s="2" t="s">
        <v>97</v>
      </c>
      <c r="E118" s="17" t="n">
        <v>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546</v>
      </c>
      <c r="J118" s="17" t="n">
        <v>669.11</v>
      </c>
      <c r="K118" s="6" t="s">
        <f>=Портфель!F33*Портфель!G33/100*Портфель!$Q$13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6" t="n">
        <v>45351</v>
      </c>
      <c r="B119" s="2" t="s">
        <v>1163</v>
      </c>
      <c r="C119" s="2" t="s">
        <v>95</v>
      </c>
      <c r="D119" s="2" t="s">
        <v>97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462</v>
      </c>
      <c r="J119" s="17" t="n">
        <v>644.92</v>
      </c>
      <c r="K119" s="6" t="s">
        <f>=Портфель!F33*Портфель!G33/100*Портфель!$Q$13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6" t="n">
        <v>45351</v>
      </c>
      <c r="B120" s="2" t="s">
        <v>1163</v>
      </c>
      <c r="C120" s="2" t="s">
        <v>95</v>
      </c>
      <c r="D120" s="2" t="s">
        <v>97</v>
      </c>
      <c r="E120" s="17" t="n">
        <v>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462</v>
      </c>
      <c r="J120" s="17" t="n">
        <v>644.925</v>
      </c>
      <c r="K120" s="6" t="s">
        <f>=Портфель!F33*Портфель!G33/100*Портфель!$Q$13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6" t="n">
        <v>45356</v>
      </c>
      <c r="B121" s="2" t="s">
        <v>1163</v>
      </c>
      <c r="C121" s="2" t="s">
        <v>95</v>
      </c>
      <c r="D121" s="2" t="s">
        <v>97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457</v>
      </c>
      <c r="J121" s="17" t="n">
        <v>640.83</v>
      </c>
      <c r="K121" s="6" t="s">
        <f>=Портфель!F33*Портфель!G33/100*Портфель!$Q$13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6" t="n">
        <v>45387</v>
      </c>
      <c r="B122" s="2" t="s">
        <v>1163</v>
      </c>
      <c r="C122" s="2" t="s">
        <v>95</v>
      </c>
      <c r="D122" s="2" t="s">
        <v>97</v>
      </c>
      <c r="E122" s="17" t="n">
        <v>3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426</v>
      </c>
      <c r="J122" s="17" t="n">
        <v>605.81666666667</v>
      </c>
      <c r="K122" s="6" t="s">
        <f>=Портфель!F33*Портфель!G33/100*Портфель!$Q$13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6" t="n">
        <v>45447</v>
      </c>
      <c r="B123" s="2" t="s">
        <v>1163</v>
      </c>
      <c r="C123" s="2" t="s">
        <v>95</v>
      </c>
      <c r="D123" s="2" t="s">
        <v>97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366</v>
      </c>
      <c r="J123" s="17" t="n">
        <v>571.14</v>
      </c>
      <c r="K123" s="6" t="s">
        <f>=Портфель!F33*Портфель!G33/100*Портфель!$Q$13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6" t="n">
        <v>45714</v>
      </c>
      <c r="B124" s="2" t="s">
        <v>1163</v>
      </c>
      <c r="C124" s="2" t="s">
        <v>95</v>
      </c>
      <c r="D124" s="2" t="s">
        <v>97</v>
      </c>
      <c r="E124" s="17" t="n">
        <v>1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99</v>
      </c>
      <c r="J124" s="17" t="n">
        <v>544.85</v>
      </c>
      <c r="K124" s="6" t="s">
        <f>=Портфель!F33*Портфель!G33/100*Портфель!$Q$13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6" t="n">
        <v>44739</v>
      </c>
      <c r="B125" s="2" t="s">
        <v>1163</v>
      </c>
      <c r="C125" s="2" t="s">
        <v>99</v>
      </c>
      <c r="D125" s="2" t="s">
        <v>100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1074</v>
      </c>
      <c r="J125" s="17" t="n">
        <v>1107.71</v>
      </c>
      <c r="K125" s="6" t="s">
        <f>=Портфель!F34*Портфель!G34/100*Портфель!$Q$13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6" t="n">
        <v>44746</v>
      </c>
      <c r="B126" s="2" t="s">
        <v>1163</v>
      </c>
      <c r="C126" s="2" t="s">
        <v>99</v>
      </c>
      <c r="D126" s="2" t="s">
        <v>100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1067</v>
      </c>
      <c r="J126" s="17" t="n">
        <v>1111.02</v>
      </c>
      <c r="K126" s="6" t="s">
        <f>=Портфель!F34*Портфель!G34/100*Портфель!$Q$13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6" t="n">
        <v>44929</v>
      </c>
      <c r="B127" s="2" t="s">
        <v>1163</v>
      </c>
      <c r="C127" s="2" t="s">
        <v>99</v>
      </c>
      <c r="D127" s="2" t="s">
        <v>100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884</v>
      </c>
      <c r="J127" s="17" t="n">
        <v>1051.78</v>
      </c>
      <c r="K127" s="6" t="s">
        <f>=Портфель!F34*Портфель!G34/100*Портфель!$Q$13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6" t="n">
        <v>45303</v>
      </c>
      <c r="B128" s="2" t="s">
        <v>1163</v>
      </c>
      <c r="C128" s="2" t="s">
        <v>99</v>
      </c>
      <c r="D128" s="2" t="s">
        <v>100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510</v>
      </c>
      <c r="J128" s="17" t="n">
        <v>1057.525</v>
      </c>
      <c r="K128" s="6" t="s">
        <f>=Портфель!F34*Портфель!G34/100*Портфель!$Q$13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6" t="n">
        <v>45351</v>
      </c>
      <c r="B129" s="2" t="s">
        <v>1163</v>
      </c>
      <c r="C129" s="2" t="s">
        <v>99</v>
      </c>
      <c r="D129" s="2" t="s">
        <v>100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462</v>
      </c>
      <c r="J129" s="17" t="n">
        <v>1075.01</v>
      </c>
      <c r="K129" s="6" t="s">
        <f>=Портфель!F34*Портфель!G34/100*Портфель!$Q$13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6" t="n">
        <v>45356</v>
      </c>
      <c r="B130" s="2" t="s">
        <v>1163</v>
      </c>
      <c r="C130" s="2" t="s">
        <v>99</v>
      </c>
      <c r="D130" s="2" t="s">
        <v>100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457</v>
      </c>
      <c r="J130" s="17" t="n">
        <v>1076.54</v>
      </c>
      <c r="K130" s="6" t="s">
        <f>=Портфель!F34*Портфель!G34/100*Портфель!$Q$13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6" t="n">
        <v>45506</v>
      </c>
      <c r="B131" s="2" t="s">
        <v>1163</v>
      </c>
      <c r="C131" s="2" t="s">
        <v>99</v>
      </c>
      <c r="D131" s="2" t="s">
        <v>100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307</v>
      </c>
      <c r="J131" s="17" t="n">
        <v>1079.95</v>
      </c>
      <c r="K131" s="6" t="s">
        <f>=Портфель!F34*Портфель!G34/100*Портфель!$Q$13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6" t="n">
        <v>45566</v>
      </c>
      <c r="B132" s="2" t="s">
        <v>1163</v>
      </c>
      <c r="C132" s="2" t="s">
        <v>99</v>
      </c>
      <c r="D132" s="2" t="s">
        <v>100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247</v>
      </c>
      <c r="J132" s="17" t="n">
        <v>1097.76</v>
      </c>
      <c r="K132" s="6" t="s">
        <f>=Портфель!F34*Портфель!G34/100*Портфель!$Q$13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6" t="n">
        <v>45566</v>
      </c>
      <c r="B133" s="2" t="s">
        <v>1163</v>
      </c>
      <c r="C133" s="2" t="s">
        <v>99</v>
      </c>
      <c r="D133" s="2" t="s">
        <v>100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247</v>
      </c>
      <c r="J133" s="17" t="n">
        <v>1100.37</v>
      </c>
      <c r="K133" s="6" t="s">
        <f>=Портфель!F34*Портфель!G34/100*Портфель!$Q$13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6" t="n">
        <v>45702</v>
      </c>
      <c r="B134" s="2" t="s">
        <v>1163</v>
      </c>
      <c r="C134" s="2" t="s">
        <v>99</v>
      </c>
      <c r="D134" s="2" t="s">
        <v>100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111</v>
      </c>
      <c r="J134" s="17" t="n">
        <v>1076.41</v>
      </c>
      <c r="K134" s="6" t="s">
        <f>=Портфель!F34*Портфель!G34/100*Портфель!$Q$13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6" t="n">
        <v>45702</v>
      </c>
      <c r="B135" s="2" t="s">
        <v>1163</v>
      </c>
      <c r="C135" s="2" t="s">
        <v>99</v>
      </c>
      <c r="D135" s="2" t="s">
        <v>100</v>
      </c>
      <c r="E135" s="17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111</v>
      </c>
      <c r="J135" s="17" t="n">
        <v>1076.41</v>
      </c>
      <c r="K135" s="6" t="s">
        <f>=Портфель!F34*Портфель!G34/100*Портфель!$Q$13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6" t="n">
        <v>45714</v>
      </c>
      <c r="B136" s="2" t="s">
        <v>1163</v>
      </c>
      <c r="C136" s="2" t="s">
        <v>99</v>
      </c>
      <c r="D136" s="2" t="s">
        <v>100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99</v>
      </c>
      <c r="J136" s="17" t="n">
        <v>1084.33</v>
      </c>
      <c r="K136" s="6" t="s">
        <f>=Портфель!F34*Портфель!G34/100*Портфель!$Q$13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6" t="n">
        <v>45714</v>
      </c>
      <c r="B137" s="2" t="s">
        <v>1163</v>
      </c>
      <c r="C137" s="2" t="s">
        <v>99</v>
      </c>
      <c r="D137" s="2" t="s">
        <v>100</v>
      </c>
      <c r="E137" s="17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99</v>
      </c>
      <c r="J137" s="17" t="n">
        <v>1084.33</v>
      </c>
      <c r="K137" s="6" t="s">
        <f>=Портфель!F34*Портфель!G34/100*Портфель!$Q$13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6" t="n">
        <v>44903</v>
      </c>
      <c r="B138" s="2" t="s">
        <v>1163</v>
      </c>
      <c r="C138" s="2" t="s">
        <v>102</v>
      </c>
      <c r="D138" s="2" t="s">
        <v>103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910</v>
      </c>
      <c r="J138" s="17" t="n">
        <v>766.25</v>
      </c>
      <c r="K138" s="6" t="s">
        <f>=Портфель!F35*Портфель!G35/100*Портфель!$Q$13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6" t="n">
        <v>44950</v>
      </c>
      <c r="B139" s="2" t="s">
        <v>1163</v>
      </c>
      <c r="C139" s="2" t="s">
        <v>102</v>
      </c>
      <c r="D139" s="2" t="s">
        <v>103</v>
      </c>
      <c r="E139" s="17" t="n">
        <v>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863</v>
      </c>
      <c r="J139" s="17" t="n">
        <v>761.14</v>
      </c>
      <c r="K139" s="6" t="s">
        <f>=Портфель!F35*Портфель!G35/100*Портфель!$Q$13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6" t="n">
        <v>45006</v>
      </c>
      <c r="B140" s="2" t="s">
        <v>1163</v>
      </c>
      <c r="C140" s="2" t="s">
        <v>102</v>
      </c>
      <c r="D140" s="2" t="s">
        <v>103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807</v>
      </c>
      <c r="J140" s="17" t="n">
        <v>756.65</v>
      </c>
      <c r="K140" s="6" t="s">
        <f>=Портфель!F35*Портфель!G35/100*Портфель!$Q$13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6" t="n">
        <v>45075</v>
      </c>
      <c r="B141" s="2" t="s">
        <v>1163</v>
      </c>
      <c r="C141" s="2" t="s">
        <v>102</v>
      </c>
      <c r="D141" s="2" t="s">
        <v>103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738</v>
      </c>
      <c r="J141" s="17" t="n">
        <v>763.02</v>
      </c>
      <c r="K141" s="6" t="s">
        <f>=Портфель!F35*Портфель!G35/100*Портфель!$Q$13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6" t="n">
        <v>45091</v>
      </c>
      <c r="B142" s="2" t="s">
        <v>1163</v>
      </c>
      <c r="C142" s="2" t="s">
        <v>102</v>
      </c>
      <c r="D142" s="2" t="s">
        <v>103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722</v>
      </c>
      <c r="J142" s="17" t="n">
        <v>726.23</v>
      </c>
      <c r="K142" s="6" t="s">
        <f>=Портфель!F35*Портфель!G35/100*Портфель!$Q$13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6" t="n">
        <v>45104</v>
      </c>
      <c r="B143" s="2" t="s">
        <v>1163</v>
      </c>
      <c r="C143" s="2" t="s">
        <v>102</v>
      </c>
      <c r="D143" s="2" t="s">
        <v>103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709</v>
      </c>
      <c r="J143" s="17" t="n">
        <v>719.2</v>
      </c>
      <c r="K143" s="6" t="s">
        <f>=Портфель!F35*Портфель!G35/100*Портфель!$Q$13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6" t="n">
        <v>45184</v>
      </c>
      <c r="B144" s="2" t="s">
        <v>1163</v>
      </c>
      <c r="C144" s="2" t="s">
        <v>102</v>
      </c>
      <c r="D144" s="2" t="s">
        <v>103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629</v>
      </c>
      <c r="J144" s="17" t="n">
        <v>702.08</v>
      </c>
      <c r="K144" s="6" t="s">
        <f>=Портфель!F35*Портфель!G35/100*Портфель!$Q$13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6" t="n">
        <v>45184</v>
      </c>
      <c r="B145" s="2" t="s">
        <v>1163</v>
      </c>
      <c r="C145" s="2" t="s">
        <v>102</v>
      </c>
      <c r="D145" s="2" t="s">
        <v>103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629</v>
      </c>
      <c r="J145" s="17" t="n">
        <v>702.08</v>
      </c>
      <c r="K145" s="6" t="s">
        <f>=Портфель!F35*Портфель!G35/100*Портфель!$Q$13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6" t="n">
        <v>45184</v>
      </c>
      <c r="B146" s="2" t="s">
        <v>1163</v>
      </c>
      <c r="C146" s="2" t="s">
        <v>102</v>
      </c>
      <c r="D146" s="2" t="s">
        <v>103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629</v>
      </c>
      <c r="J146" s="17" t="n">
        <v>702.08</v>
      </c>
      <c r="K146" s="6" t="s">
        <f>=Портфель!F35*Портфель!G35/100*Портфель!$Q$13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6" t="n">
        <v>45240</v>
      </c>
      <c r="B147" s="2" t="s">
        <v>1163</v>
      </c>
      <c r="C147" s="2" t="s">
        <v>102</v>
      </c>
      <c r="D147" s="2" t="s">
        <v>103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573</v>
      </c>
      <c r="J147" s="17" t="n">
        <v>711.84</v>
      </c>
      <c r="K147" s="6" t="s">
        <f>=Портфель!F35*Портфель!G35/100*Портфель!$Q$13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6" t="n">
        <v>45267</v>
      </c>
      <c r="B148" s="2" t="s">
        <v>1163</v>
      </c>
      <c r="C148" s="2" t="s">
        <v>102</v>
      </c>
      <c r="D148" s="2" t="s">
        <v>103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546</v>
      </c>
      <c r="J148" s="17" t="n">
        <v>659.05</v>
      </c>
      <c r="K148" s="6" t="s">
        <f>=Портфель!F35*Портфель!G35/100*Портфель!$Q$13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6" t="n">
        <v>45303</v>
      </c>
      <c r="B149" s="2" t="s">
        <v>1163</v>
      </c>
      <c r="C149" s="2" t="s">
        <v>102</v>
      </c>
      <c r="D149" s="2" t="s">
        <v>103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510</v>
      </c>
      <c r="J149" s="17" t="n">
        <v>659.73</v>
      </c>
      <c r="K149" s="6" t="s">
        <f>=Портфель!F35*Портфель!G35/100*Портфель!$Q$13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6" t="n">
        <v>45351</v>
      </c>
      <c r="B150" s="2" t="s">
        <v>1163</v>
      </c>
      <c r="C150" s="2" t="s">
        <v>102</v>
      </c>
      <c r="D150" s="2" t="s">
        <v>103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462</v>
      </c>
      <c r="J150" s="17" t="n">
        <v>661.05</v>
      </c>
      <c r="K150" s="6" t="s">
        <f>=Портфель!F35*Портфель!G35/100*Портфель!$Q$13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6" t="n">
        <v>45356</v>
      </c>
      <c r="B151" s="2" t="s">
        <v>1163</v>
      </c>
      <c r="C151" s="2" t="s">
        <v>102</v>
      </c>
      <c r="D151" s="2" t="s">
        <v>103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457</v>
      </c>
      <c r="J151" s="17" t="n">
        <v>655.1</v>
      </c>
      <c r="K151" s="6" t="s">
        <f>=Портфель!F35*Портфель!G35/100*Портфель!$Q$13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6" t="n">
        <v>45387</v>
      </c>
      <c r="B152" s="2" t="s">
        <v>1163</v>
      </c>
      <c r="C152" s="2" t="s">
        <v>102</v>
      </c>
      <c r="D152" s="2" t="s">
        <v>103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426</v>
      </c>
      <c r="J152" s="17" t="n">
        <v>618.7</v>
      </c>
      <c r="K152" s="6" t="s">
        <f>=Портфель!F35*Портфель!G35/100*Портфель!$Q$13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6" t="n">
        <v>45471</v>
      </c>
      <c r="B153" s="2" t="s">
        <v>1163</v>
      </c>
      <c r="C153" s="2" t="s">
        <v>102</v>
      </c>
      <c r="D153" s="2" t="s">
        <v>103</v>
      </c>
      <c r="E153" s="17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342</v>
      </c>
      <c r="J153" s="17" t="n">
        <v>546.47</v>
      </c>
      <c r="K153" s="6" t="s">
        <f>=Портфель!F35*Портфель!G35/100*Портфель!$Q$13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6" t="n">
        <v>45714</v>
      </c>
      <c r="B154" s="2" t="s">
        <v>1163</v>
      </c>
      <c r="C154" s="2" t="s">
        <v>102</v>
      </c>
      <c r="D154" s="2" t="s">
        <v>103</v>
      </c>
      <c r="E154" s="17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99</v>
      </c>
      <c r="J154" s="17" t="n">
        <v>556.13</v>
      </c>
      <c r="K154" s="6" t="s">
        <f>=Портфель!F35*Портфель!G35/100*Портфель!$Q$13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6" t="n">
        <v>44708</v>
      </c>
      <c r="B155" s="2" t="s">
        <v>1163</v>
      </c>
      <c r="C155" s="2" t="s">
        <v>105</v>
      </c>
      <c r="D155" s="2" t="s">
        <v>106</v>
      </c>
      <c r="E155" s="17" t="n">
        <v>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1105</v>
      </c>
      <c r="J155" s="17" t="n">
        <v>1064.65</v>
      </c>
      <c r="K155" s="6" t="s">
        <f>=Портфель!F36*Портфель!G36/100*Портфель!$Q$13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6" t="n">
        <v>44903</v>
      </c>
      <c r="B156" s="2" t="s">
        <v>1163</v>
      </c>
      <c r="C156" s="2" t="s">
        <v>105</v>
      </c>
      <c r="D156" s="2" t="s">
        <v>106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910</v>
      </c>
      <c r="J156" s="17" t="n">
        <v>1057.94</v>
      </c>
      <c r="K156" s="6" t="s">
        <f>=Портфель!F36*Портфель!G36/100*Портфель!$Q$13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6" t="n">
        <v>44950</v>
      </c>
      <c r="B157" s="2" t="s">
        <v>1163</v>
      </c>
      <c r="C157" s="2" t="s">
        <v>105</v>
      </c>
      <c r="D157" s="2" t="s">
        <v>106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863</v>
      </c>
      <c r="J157" s="17" t="n">
        <v>1068.42</v>
      </c>
      <c r="K157" s="6" t="s">
        <f>=Портфель!F36*Портфель!G36/100*Портфель!$Q$13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6" t="n">
        <v>45447</v>
      </c>
      <c r="B158" s="2" t="s">
        <v>1163</v>
      </c>
      <c r="C158" s="2" t="s">
        <v>105</v>
      </c>
      <c r="D158" s="2" t="s">
        <v>106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366</v>
      </c>
      <c r="J158" s="17" t="n">
        <v>1067.75</v>
      </c>
      <c r="K158" s="6" t="s">
        <f>=Портфель!F36*Портфель!G36/100*Портфель!$Q$13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6" t="n">
        <v>45447</v>
      </c>
      <c r="B159" s="2" t="s">
        <v>1163</v>
      </c>
      <c r="C159" s="2" t="s">
        <v>105</v>
      </c>
      <c r="D159" s="2" t="s">
        <v>106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366</v>
      </c>
      <c r="J159" s="17" t="n">
        <v>1067.75</v>
      </c>
      <c r="K159" s="6" t="s">
        <f>=Портфель!F36*Портфель!G36/100*Портфель!$Q$13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6" t="n">
        <v>45506</v>
      </c>
      <c r="B160" s="2" t="s">
        <v>1163</v>
      </c>
      <c r="C160" s="2" t="s">
        <v>105</v>
      </c>
      <c r="D160" s="2" t="s">
        <v>106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307</v>
      </c>
      <c r="J160" s="17" t="n">
        <v>1098.65</v>
      </c>
      <c r="K160" s="6" t="s">
        <f>=Портфель!F36*Портфель!G36/100*Портфель!$Q$13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6" t="n">
        <v>45566</v>
      </c>
      <c r="B161" s="2" t="s">
        <v>1163</v>
      </c>
      <c r="C161" s="2" t="s">
        <v>105</v>
      </c>
      <c r="D161" s="2" t="s">
        <v>106</v>
      </c>
      <c r="E161" s="17" t="n">
        <v>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247</v>
      </c>
      <c r="J161" s="17" t="n">
        <v>1101.95</v>
      </c>
      <c r="K161" s="6" t="s">
        <f>=Портфель!F36*Портфель!G36/100*Портфель!$Q$13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6" t="n">
        <v>45702</v>
      </c>
      <c r="B162" s="2" t="s">
        <v>1163</v>
      </c>
      <c r="C162" s="2" t="s">
        <v>105</v>
      </c>
      <c r="D162" s="2" t="s">
        <v>106</v>
      </c>
      <c r="E162" s="17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111</v>
      </c>
      <c r="J162" s="17" t="n">
        <v>1090.65</v>
      </c>
      <c r="K162" s="6" t="s">
        <f>=Портфель!F36*Портфель!G36/100*Портфель!$Q$13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6" t="n">
        <v>45702</v>
      </c>
      <c r="B163" s="2" t="s">
        <v>1163</v>
      </c>
      <c r="C163" s="2" t="s">
        <v>105</v>
      </c>
      <c r="D163" s="2" t="s">
        <v>106</v>
      </c>
      <c r="E163" s="17" t="n">
        <v>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111</v>
      </c>
      <c r="J163" s="17" t="n">
        <v>1090.61</v>
      </c>
      <c r="K163" s="6" t="s">
        <f>=Портфель!F36*Портфель!G36/100*Портфель!$Q$13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6" t="n">
        <v>45714</v>
      </c>
      <c r="B164" s="2" t="s">
        <v>1163</v>
      </c>
      <c r="C164" s="2" t="s">
        <v>105</v>
      </c>
      <c r="D164" s="2" t="s">
        <v>106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99</v>
      </c>
      <c r="J164" s="17" t="n">
        <v>1094.45</v>
      </c>
      <c r="K164" s="6" t="s">
        <f>=Портфель!F36*Портфель!G36/100*Портфель!$Q$13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6" t="n">
        <v>45714</v>
      </c>
      <c r="B165" s="2" t="s">
        <v>1163</v>
      </c>
      <c r="C165" s="2" t="s">
        <v>105</v>
      </c>
      <c r="D165" s="2" t="s">
        <v>106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99</v>
      </c>
      <c r="J165" s="17" t="n">
        <v>1094.6</v>
      </c>
      <c r="K165" s="6" t="s">
        <f>=Портфель!F36*Портфель!G36/100*Портфель!$Q$13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6" t="n">
        <v>44903</v>
      </c>
      <c r="B166" s="2" t="s">
        <v>1163</v>
      </c>
      <c r="C166" s="2" t="s">
        <v>108</v>
      </c>
      <c r="D166" s="2" t="s">
        <v>109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910</v>
      </c>
      <c r="J166" s="17" t="n">
        <v>808.71</v>
      </c>
      <c r="K166" s="6" t="s">
        <f>=Портфель!F37*Портфель!G37/100*Портфель!$Q$13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6" t="n">
        <v>44950</v>
      </c>
      <c r="B167" s="2" t="s">
        <v>1163</v>
      </c>
      <c r="C167" s="2" t="s">
        <v>108</v>
      </c>
      <c r="D167" s="2" t="s">
        <v>109</v>
      </c>
      <c r="E167" s="17" t="n">
        <v>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863</v>
      </c>
      <c r="J167" s="17" t="n">
        <v>805.19</v>
      </c>
      <c r="K167" s="6" t="s">
        <f>=Портфель!F37*Портфель!G37/100*Портфель!$Q$13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6" t="n">
        <v>45006</v>
      </c>
      <c r="B168" s="2" t="s">
        <v>1163</v>
      </c>
      <c r="C168" s="2" t="s">
        <v>108</v>
      </c>
      <c r="D168" s="2" t="s">
        <v>109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807</v>
      </c>
      <c r="J168" s="17" t="n">
        <v>763.22</v>
      </c>
      <c r="K168" s="6" t="s">
        <f>=Портфель!F37*Портфель!G37/100*Портфель!$Q$13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6" t="n">
        <v>45082</v>
      </c>
      <c r="B169" s="2" t="s">
        <v>1163</v>
      </c>
      <c r="C169" s="2" t="s">
        <v>108</v>
      </c>
      <c r="D169" s="2" t="s">
        <v>109</v>
      </c>
      <c r="E169" s="17" t="n">
        <v>2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731</v>
      </c>
      <c r="J169" s="17" t="n">
        <v>776.93</v>
      </c>
      <c r="K169" s="6" t="s">
        <f>=Портфель!F37*Портфель!G37/100*Портфель!$Q$13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6" t="n">
        <v>45104</v>
      </c>
      <c r="B170" s="2" t="s">
        <v>1163</v>
      </c>
      <c r="C170" s="2" t="s">
        <v>108</v>
      </c>
      <c r="D170" s="2" t="s">
        <v>109</v>
      </c>
      <c r="E170" s="17" t="n">
        <v>2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709</v>
      </c>
      <c r="J170" s="17" t="n">
        <v>770.63</v>
      </c>
      <c r="K170" s="6" t="s">
        <f>=Портфель!F37*Портфель!G37/100*Портфель!$Q$13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6" t="n">
        <v>45184</v>
      </c>
      <c r="B171" s="2" t="s">
        <v>1163</v>
      </c>
      <c r="C171" s="2" t="s">
        <v>108</v>
      </c>
      <c r="D171" s="2" t="s">
        <v>109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629</v>
      </c>
      <c r="J171" s="17" t="n">
        <v>720.42</v>
      </c>
      <c r="K171" s="6" t="s">
        <f>=Портфель!F37*Портфель!G37/100*Портфель!$Q$13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6" t="n">
        <v>45184</v>
      </c>
      <c r="B172" s="2" t="s">
        <v>1163</v>
      </c>
      <c r="C172" s="2" t="s">
        <v>108</v>
      </c>
      <c r="D172" s="2" t="s">
        <v>109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629</v>
      </c>
      <c r="J172" s="17" t="n">
        <v>720.42</v>
      </c>
      <c r="K172" s="6" t="s">
        <f>=Портфель!F37*Портфель!G37/100*Портфель!$Q$13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6" t="n">
        <v>45184</v>
      </c>
      <c r="B173" s="2" t="s">
        <v>1163</v>
      </c>
      <c r="C173" s="2" t="s">
        <v>108</v>
      </c>
      <c r="D173" s="2" t="s">
        <v>109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629</v>
      </c>
      <c r="J173" s="17" t="n">
        <v>720.42</v>
      </c>
      <c r="K173" s="6" t="s">
        <f>=Портфель!F37*Портфель!G37/100*Портфель!$Q$13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6" t="n">
        <v>45303</v>
      </c>
      <c r="B174" s="2" t="s">
        <v>1163</v>
      </c>
      <c r="C174" s="2" t="s">
        <v>108</v>
      </c>
      <c r="D174" s="2" t="s">
        <v>109</v>
      </c>
      <c r="E174" s="17" t="n">
        <v>2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510</v>
      </c>
      <c r="J174" s="17" t="n">
        <v>714.19</v>
      </c>
      <c r="K174" s="6" t="s">
        <f>=Портфель!F37*Портфель!G37/100*Портфель!$Q$13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6" t="n">
        <v>45351</v>
      </c>
      <c r="B175" s="2" t="s">
        <v>1163</v>
      </c>
      <c r="C175" s="2" t="s">
        <v>108</v>
      </c>
      <c r="D175" s="2" t="s">
        <v>109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462</v>
      </c>
      <c r="J175" s="17" t="n">
        <v>680.1</v>
      </c>
      <c r="K175" s="6" t="s">
        <f>=Портфель!F37*Портфель!G37/100*Портфель!$Q$13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6" t="n">
        <v>45356</v>
      </c>
      <c r="B176" s="2" t="s">
        <v>1163</v>
      </c>
      <c r="C176" s="2" t="s">
        <v>108</v>
      </c>
      <c r="D176" s="2" t="s">
        <v>109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457</v>
      </c>
      <c r="J176" s="17" t="n">
        <v>673.53</v>
      </c>
      <c r="K176" s="6" t="s">
        <f>=Портфель!F37*Портфель!G37/100*Портфель!$Q$13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6" t="n">
        <v>45387</v>
      </c>
      <c r="B177" s="2" t="s">
        <v>1163</v>
      </c>
      <c r="C177" s="2" t="s">
        <v>108</v>
      </c>
      <c r="D177" s="2" t="s">
        <v>109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426</v>
      </c>
      <c r="J177" s="17" t="n">
        <v>636.15</v>
      </c>
      <c r="K177" s="6" t="s">
        <f>=Портфель!F37*Портфель!G37/100*Портфель!$Q$13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6" t="n">
        <v>45447</v>
      </c>
      <c r="B178" s="2" t="s">
        <v>1163</v>
      </c>
      <c r="C178" s="2" t="s">
        <v>108</v>
      </c>
      <c r="D178" s="2" t="s">
        <v>109</v>
      </c>
      <c r="E178" s="17" t="n">
        <v>1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366</v>
      </c>
      <c r="J178" s="17" t="n">
        <v>602.21</v>
      </c>
      <c r="K178" s="6" t="s">
        <f>=Портфель!F37*Портфель!G37/100*Портфель!$Q$13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6" t="n">
        <v>45471</v>
      </c>
      <c r="B179" s="2" t="s">
        <v>1163</v>
      </c>
      <c r="C179" s="2" t="s">
        <v>108</v>
      </c>
      <c r="D179" s="2" t="s">
        <v>109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342</v>
      </c>
      <c r="J179" s="17" t="n">
        <v>594.05</v>
      </c>
      <c r="K179" s="6" t="s">
        <f>=Портфель!F37*Портфель!G37/100*Портфель!$Q$13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6" t="n">
        <v>45506</v>
      </c>
      <c r="B180" s="2" t="s">
        <v>1163</v>
      </c>
      <c r="C180" s="2" t="s">
        <v>108</v>
      </c>
      <c r="D180" s="2" t="s">
        <v>109</v>
      </c>
      <c r="E180" s="17" t="n">
        <v>1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307</v>
      </c>
      <c r="J180" s="17" t="n">
        <v>587.83</v>
      </c>
      <c r="K180" s="6" t="s">
        <f>=Портфель!F37*Портфель!G37/100*Портфель!$Q$13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6" t="n">
        <v>45714</v>
      </c>
      <c r="B181" s="2" t="s">
        <v>1163</v>
      </c>
      <c r="C181" s="2" t="s">
        <v>108</v>
      </c>
      <c r="D181" s="2" t="s">
        <v>109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99</v>
      </c>
      <c r="J181" s="17" t="n">
        <v>570.58</v>
      </c>
      <c r="K181" s="6" t="s">
        <f>=Портфель!F37*Портфель!G37/100*Портфель!$Q$13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6" t="n">
        <v>44868</v>
      </c>
      <c r="B182" s="2" t="s">
        <v>1163</v>
      </c>
      <c r="C182" s="2" t="s">
        <v>111</v>
      </c>
      <c r="D182" s="2" t="s">
        <v>112</v>
      </c>
      <c r="E182" s="17" t="n">
        <v>1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945</v>
      </c>
      <c r="J182" s="17" t="n">
        <v>831.71</v>
      </c>
      <c r="K182" s="6" t="s">
        <f>=Портфель!F38*Портфель!G38/100*Портфель!$Q$13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6" t="n">
        <v>44950</v>
      </c>
      <c r="B183" s="2" t="s">
        <v>1163</v>
      </c>
      <c r="C183" s="2" t="s">
        <v>111</v>
      </c>
      <c r="D183" s="2" t="s">
        <v>112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863</v>
      </c>
      <c r="J183" s="17" t="n">
        <v>837.75</v>
      </c>
      <c r="K183" s="6" t="s">
        <f>=Портфель!F38*Портфель!G38/100*Портфель!$Q$13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6" t="n">
        <v>45006</v>
      </c>
      <c r="B184" s="2" t="s">
        <v>1163</v>
      </c>
      <c r="C184" s="2" t="s">
        <v>111</v>
      </c>
      <c r="D184" s="2" t="s">
        <v>112</v>
      </c>
      <c r="E184" s="17" t="n">
        <v>1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807</v>
      </c>
      <c r="J184" s="17" t="n">
        <v>831.77</v>
      </c>
      <c r="K184" s="6" t="s">
        <f>=Портфель!F38*Портфель!G38/100*Портфель!$Q$13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6" t="n">
        <v>45184</v>
      </c>
      <c r="B185" s="2" t="s">
        <v>1163</v>
      </c>
      <c r="C185" s="2" t="s">
        <v>111</v>
      </c>
      <c r="D185" s="2" t="s">
        <v>112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629</v>
      </c>
      <c r="J185" s="17" t="n">
        <v>776.84</v>
      </c>
      <c r="K185" s="6" t="s">
        <f>=Портфель!F38*Портфель!G38/100*Портфель!$Q$13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6" t="n">
        <v>45184</v>
      </c>
      <c r="B186" s="2" t="s">
        <v>1163</v>
      </c>
      <c r="C186" s="2" t="s">
        <v>111</v>
      </c>
      <c r="D186" s="2" t="s">
        <v>112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629</v>
      </c>
      <c r="J186" s="17" t="n">
        <v>776.85</v>
      </c>
      <c r="K186" s="6" t="s">
        <f>=Портфель!F38*Портфель!G38/100*Портфель!$Q$13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6" t="n">
        <v>45240</v>
      </c>
      <c r="B187" s="2" t="s">
        <v>1163</v>
      </c>
      <c r="C187" s="2" t="s">
        <v>111</v>
      </c>
      <c r="D187" s="2" t="s">
        <v>112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573</v>
      </c>
      <c r="J187" s="17" t="n">
        <v>746.54</v>
      </c>
      <c r="K187" s="6" t="s">
        <f>=Портфель!F38*Портфель!G38/100*Портфель!$Q$13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6" t="n">
        <v>45267</v>
      </c>
      <c r="B188" s="2" t="s">
        <v>1163</v>
      </c>
      <c r="C188" s="2" t="s">
        <v>111</v>
      </c>
      <c r="D188" s="2" t="s">
        <v>112</v>
      </c>
      <c r="E188" s="17" t="n">
        <v>2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546</v>
      </c>
      <c r="J188" s="17" t="n">
        <v>729.34</v>
      </c>
      <c r="K188" s="6" t="s">
        <f>=Портфель!F38*Портфель!G38/100*Портфель!$Q$13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6" t="n">
        <v>45303</v>
      </c>
      <c r="B189" s="2" t="s">
        <v>1163</v>
      </c>
      <c r="C189" s="2" t="s">
        <v>111</v>
      </c>
      <c r="D189" s="2" t="s">
        <v>112</v>
      </c>
      <c r="E189" s="17" t="n">
        <v>2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510</v>
      </c>
      <c r="J189" s="17" t="n">
        <v>730.82</v>
      </c>
      <c r="K189" s="6" t="s">
        <f>=Портфель!F38*Портфель!G38/100*Портфель!$Q$13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6" t="n">
        <v>45351</v>
      </c>
      <c r="B190" s="2" t="s">
        <v>1163</v>
      </c>
      <c r="C190" s="2" t="s">
        <v>111</v>
      </c>
      <c r="D190" s="2" t="s">
        <v>112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462</v>
      </c>
      <c r="J190" s="17" t="n">
        <v>730.51</v>
      </c>
      <c r="K190" s="6" t="s">
        <f>=Портфель!F38*Портфель!G38/100*Портфель!$Q$13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6" t="n">
        <v>45351</v>
      </c>
      <c r="B191" s="2" t="s">
        <v>1163</v>
      </c>
      <c r="C191" s="2" t="s">
        <v>111</v>
      </c>
      <c r="D191" s="2" t="s">
        <v>112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462</v>
      </c>
      <c r="J191" s="17" t="n">
        <v>730.47</v>
      </c>
      <c r="K191" s="6" t="s">
        <f>=Портфель!F38*Портфель!G38/100*Портфель!$Q$13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6" t="n">
        <v>45356</v>
      </c>
      <c r="B192" s="2" t="s">
        <v>1163</v>
      </c>
      <c r="C192" s="2" t="s">
        <v>111</v>
      </c>
      <c r="D192" s="2" t="s">
        <v>112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457</v>
      </c>
      <c r="J192" s="17" t="n">
        <v>725.98</v>
      </c>
      <c r="K192" s="6" t="s">
        <f>=Портфель!F38*Портфель!G38/100*Портфель!$Q$13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6" t="n">
        <v>45387</v>
      </c>
      <c r="B193" s="2" t="s">
        <v>1163</v>
      </c>
      <c r="C193" s="2" t="s">
        <v>111</v>
      </c>
      <c r="D193" s="2" t="s">
        <v>112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426</v>
      </c>
      <c r="J193" s="17" t="n">
        <v>649.19</v>
      </c>
      <c r="K193" s="6" t="s">
        <f>=Портфель!F38*Портфель!G38/100*Портфель!$Q$13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6" t="n">
        <v>45447</v>
      </c>
      <c r="B194" s="2" t="s">
        <v>1163</v>
      </c>
      <c r="C194" s="2" t="s">
        <v>111</v>
      </c>
      <c r="D194" s="2" t="s">
        <v>112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366</v>
      </c>
      <c r="J194" s="17" t="n">
        <v>610.68</v>
      </c>
      <c r="K194" s="6" t="s">
        <f>=Портфель!F38*Портфель!G38/100*Портфель!$Q$13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6" t="n">
        <v>45506</v>
      </c>
      <c r="B195" s="2" t="s">
        <v>1163</v>
      </c>
      <c r="C195" s="2" t="s">
        <v>111</v>
      </c>
      <c r="D195" s="2" t="s">
        <v>112</v>
      </c>
      <c r="E195" s="17" t="n">
        <v>1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307</v>
      </c>
      <c r="J195" s="17" t="n">
        <v>600.32</v>
      </c>
      <c r="K195" s="6" t="s">
        <f>=Портфель!F38*Портфель!G38/100*Портфель!$Q$13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6" t="n">
        <v>45714</v>
      </c>
      <c r="B196" s="2" t="s">
        <v>1163</v>
      </c>
      <c r="C196" s="2" t="s">
        <v>111</v>
      </c>
      <c r="D196" s="2" t="s">
        <v>112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99</v>
      </c>
      <c r="J196" s="17" t="n">
        <v>607.69</v>
      </c>
      <c r="K196" s="6" t="s">
        <f>=Портфель!F38*Портфель!G38/100*Портфель!$Q$13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6" t="n">
        <v>45061</v>
      </c>
      <c r="B197" s="2" t="s">
        <v>1163</v>
      </c>
      <c r="C197" s="2" t="s">
        <v>114</v>
      </c>
      <c r="D197" s="2" t="s">
        <v>115</v>
      </c>
      <c r="E197" s="17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752</v>
      </c>
      <c r="J197" s="17" t="n">
        <v>897.96</v>
      </c>
      <c r="K197" s="6" t="s">
        <f>=Портфель!F39*Портфель!G39/100*Портфель!$Q$13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6" t="n">
        <v>45061</v>
      </c>
      <c r="B198" s="2" t="s">
        <v>1163</v>
      </c>
      <c r="C198" s="2" t="s">
        <v>114</v>
      </c>
      <c r="D198" s="2" t="s">
        <v>115</v>
      </c>
      <c r="E198" s="17" t="n">
        <v>1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752</v>
      </c>
      <c r="J198" s="17" t="n">
        <v>897.96</v>
      </c>
      <c r="K198" s="6" t="s">
        <f>=Портфель!F39*Портфель!G39/100*Портфель!$Q$13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6" t="n">
        <v>45240</v>
      </c>
      <c r="B199" s="2" t="s">
        <v>1163</v>
      </c>
      <c r="C199" s="2" t="s">
        <v>114</v>
      </c>
      <c r="D199" s="2" t="s">
        <v>115</v>
      </c>
      <c r="E199" s="17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573</v>
      </c>
      <c r="J199" s="17" t="n">
        <v>843.84</v>
      </c>
      <c r="K199" s="6" t="s">
        <f>=Портфель!F39*Портфель!G39/100*Портфель!$Q$13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6" t="n">
        <v>45351</v>
      </c>
      <c r="B200" s="2" t="s">
        <v>1163</v>
      </c>
      <c r="C200" s="2" t="s">
        <v>114</v>
      </c>
      <c r="D200" s="2" t="s">
        <v>115</v>
      </c>
      <c r="E200" s="17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462</v>
      </c>
      <c r="J200" s="17" t="n">
        <v>844.62</v>
      </c>
      <c r="K200" s="6" t="s">
        <f>=Портфель!F39*Портфель!G39/100*Портфель!$Q$13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6" t="n">
        <v>45356</v>
      </c>
      <c r="B201" s="2" t="s">
        <v>1163</v>
      </c>
      <c r="C201" s="2" t="s">
        <v>114</v>
      </c>
      <c r="D201" s="2" t="s">
        <v>115</v>
      </c>
      <c r="E201" s="17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457</v>
      </c>
      <c r="J201" s="17" t="n">
        <v>840.66</v>
      </c>
      <c r="K201" s="6" t="s">
        <f>=Портфель!F39*Портфель!G39/100*Портфель!$Q$13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6" t="n">
        <v>45447</v>
      </c>
      <c r="B202" s="2" t="s">
        <v>1163</v>
      </c>
      <c r="C202" s="2" t="s">
        <v>114</v>
      </c>
      <c r="D202" s="2" t="s">
        <v>115</v>
      </c>
      <c r="E202" s="17" t="n">
        <v>1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366</v>
      </c>
      <c r="J202" s="17" t="n">
        <v>743.9</v>
      </c>
      <c r="K202" s="6" t="s">
        <f>=Портфель!F39*Портфель!G39/100*Портфель!$Q$13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6" t="n">
        <v>45447</v>
      </c>
      <c r="B203" s="2" t="s">
        <v>1163</v>
      </c>
      <c r="C203" s="2" t="s">
        <v>114</v>
      </c>
      <c r="D203" s="2" t="s">
        <v>115</v>
      </c>
      <c r="E203" s="17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366</v>
      </c>
      <c r="J203" s="17" t="n">
        <v>743.88</v>
      </c>
      <c r="K203" s="6" t="s">
        <f>=Портфель!F39*Портфель!G39/100*Портфель!$Q$13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6" t="n">
        <v>45506</v>
      </c>
      <c r="B204" s="2" t="s">
        <v>1163</v>
      </c>
      <c r="C204" s="2" t="s">
        <v>114</v>
      </c>
      <c r="D204" s="2" t="s">
        <v>115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307</v>
      </c>
      <c r="J204" s="17" t="n">
        <v>736.18</v>
      </c>
      <c r="K204" s="6" t="s">
        <f>=Портфель!F39*Портфель!G39/100*Портфель!$Q$13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6" t="n">
        <v>45566</v>
      </c>
      <c r="B205" s="2" t="s">
        <v>1163</v>
      </c>
      <c r="C205" s="2" t="s">
        <v>114</v>
      </c>
      <c r="D205" s="2" t="s">
        <v>115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247</v>
      </c>
      <c r="J205" s="17" t="n">
        <v>716.79</v>
      </c>
      <c r="K205" s="6" t="s">
        <f>=Портфель!F39*Портфель!G39/100*Портфель!$Q$13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6" t="n">
        <v>45566</v>
      </c>
      <c r="B206" s="2" t="s">
        <v>1163</v>
      </c>
      <c r="C206" s="2" t="s">
        <v>114</v>
      </c>
      <c r="D206" s="2" t="s">
        <v>115</v>
      </c>
      <c r="E206" s="17" t="n">
        <v>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247</v>
      </c>
      <c r="J206" s="17" t="n">
        <v>717.66</v>
      </c>
      <c r="K206" s="6" t="s">
        <f>=Портфель!F39*Портфель!G39/100*Портфель!$Q$13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6" t="n">
        <v>45702</v>
      </c>
      <c r="B207" s="2" t="s">
        <v>1163</v>
      </c>
      <c r="C207" s="2" t="s">
        <v>114</v>
      </c>
      <c r="D207" s="2" t="s">
        <v>115</v>
      </c>
      <c r="E207" s="17" t="n">
        <v>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111</v>
      </c>
      <c r="J207" s="17" t="n">
        <v>772.95</v>
      </c>
      <c r="K207" s="6" t="s">
        <f>=Портфель!F39*Портфель!G39/100*Портфель!$Q$13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6" t="n">
        <v>45714</v>
      </c>
      <c r="B208" s="2" t="s">
        <v>1163</v>
      </c>
      <c r="C208" s="2" t="s">
        <v>114</v>
      </c>
      <c r="D208" s="2" t="s">
        <v>115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99</v>
      </c>
      <c r="J208" s="17" t="n">
        <v>759.68</v>
      </c>
      <c r="K208" s="6" t="s">
        <f>=Портфель!F39*Портфель!G39/100*Портфель!$Q$13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6" t="n">
        <v>45714</v>
      </c>
      <c r="B209" s="2" t="s">
        <v>1163</v>
      </c>
      <c r="C209" s="2" t="s">
        <v>114</v>
      </c>
      <c r="D209" s="2" t="s">
        <v>115</v>
      </c>
      <c r="E209" s="17" t="n">
        <v>1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99</v>
      </c>
      <c r="J209" s="17" t="n">
        <v>759.68</v>
      </c>
      <c r="K209" s="6" t="s">
        <f>=Портфель!F39*Портфель!G39/100*Портфель!$Q$13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6" t="n">
        <v>44699</v>
      </c>
      <c r="B210" s="2" t="s">
        <v>1163</v>
      </c>
      <c r="C210" s="2" t="s">
        <v>117</v>
      </c>
      <c r="D210" s="2" t="s">
        <v>118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1114</v>
      </c>
      <c r="J210" s="17" t="n">
        <v>769.66</v>
      </c>
      <c r="K210" s="6" t="s">
        <f>=Портфель!F40*Портфель!G40/100*Портфель!$Q$13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6" t="n">
        <v>44868</v>
      </c>
      <c r="B211" s="2" t="s">
        <v>1163</v>
      </c>
      <c r="C211" s="2" t="s">
        <v>117</v>
      </c>
      <c r="D211" s="2" t="s">
        <v>118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945</v>
      </c>
      <c r="J211" s="17" t="n">
        <v>790.02</v>
      </c>
      <c r="K211" s="6" t="s">
        <f>=Портфель!F40*Портфель!G40/100*Портфель!$Q$13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6" t="n">
        <v>45006</v>
      </c>
      <c r="B212" s="2" t="s">
        <v>1163</v>
      </c>
      <c r="C212" s="2" t="s">
        <v>117</v>
      </c>
      <c r="D212" s="2" t="s">
        <v>118</v>
      </c>
      <c r="E212" s="17" t="n">
        <v>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807</v>
      </c>
      <c r="J212" s="17" t="n">
        <v>779.81</v>
      </c>
      <c r="K212" s="6" t="s">
        <f>=Портфель!F40*Портфель!G40/100*Портфель!$Q$13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6" t="n">
        <v>45147</v>
      </c>
      <c r="B213" s="2" t="s">
        <v>1163</v>
      </c>
      <c r="C213" s="2" t="s">
        <v>117</v>
      </c>
      <c r="D213" s="2" t="s">
        <v>118</v>
      </c>
      <c r="E213" s="17" t="n">
        <v>2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666</v>
      </c>
      <c r="J213" s="17" t="n">
        <v>784.26</v>
      </c>
      <c r="K213" s="6" t="s">
        <f>=Портфель!F40*Портфель!G40/100*Портфель!$Q$13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6" t="n">
        <v>45184</v>
      </c>
      <c r="B214" s="2" t="s">
        <v>1163</v>
      </c>
      <c r="C214" s="2" t="s">
        <v>117</v>
      </c>
      <c r="D214" s="2" t="s">
        <v>118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629</v>
      </c>
      <c r="J214" s="17" t="n">
        <v>763.63</v>
      </c>
      <c r="K214" s="6" t="s">
        <f>=Портфель!F40*Портфель!G40/100*Портфель!$Q$13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6" t="n">
        <v>45184</v>
      </c>
      <c r="B215" s="2" t="s">
        <v>1163</v>
      </c>
      <c r="C215" s="2" t="s">
        <v>117</v>
      </c>
      <c r="D215" s="2" t="s">
        <v>118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629</v>
      </c>
      <c r="J215" s="17" t="n">
        <v>763.59</v>
      </c>
      <c r="K215" s="6" t="s">
        <f>=Портфель!F40*Портфель!G40/100*Портфель!$Q$13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6" t="n">
        <v>45267</v>
      </c>
      <c r="B216" s="2" t="s">
        <v>1163</v>
      </c>
      <c r="C216" s="2" t="s">
        <v>117</v>
      </c>
      <c r="D216" s="2" t="s">
        <v>118</v>
      </c>
      <c r="E216" s="17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546</v>
      </c>
      <c r="J216" s="17" t="n">
        <v>737.64</v>
      </c>
      <c r="K216" s="6" t="s">
        <f>=Портфель!F40*Портфель!G40/100*Портфель!$Q$13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6" t="n">
        <v>45387</v>
      </c>
      <c r="B217" s="2" t="s">
        <v>1163</v>
      </c>
      <c r="C217" s="2" t="s">
        <v>117</v>
      </c>
      <c r="D217" s="2" t="s">
        <v>118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426</v>
      </c>
      <c r="J217" s="17" t="n">
        <v>687.54</v>
      </c>
      <c r="K217" s="6" t="s">
        <f>=Портфель!F40*Портфель!G40/100*Портфель!$Q$13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6" t="n">
        <v>45387</v>
      </c>
      <c r="B218" s="2" t="s">
        <v>1163</v>
      </c>
      <c r="C218" s="2" t="s">
        <v>117</v>
      </c>
      <c r="D218" s="2" t="s">
        <v>118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426</v>
      </c>
      <c r="J218" s="17" t="n">
        <v>687.55</v>
      </c>
      <c r="K218" s="6" t="s">
        <f>=Портфель!F40*Портфель!G40/100*Портфель!$Q$13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6" t="n">
        <v>45506</v>
      </c>
      <c r="B219" s="2" t="s">
        <v>1163</v>
      </c>
      <c r="C219" s="2" t="s">
        <v>117</v>
      </c>
      <c r="D219" s="2" t="s">
        <v>118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307</v>
      </c>
      <c r="J219" s="17" t="n">
        <v>646.67</v>
      </c>
      <c r="K219" s="6" t="s">
        <f>=Портфель!F40*Портфель!G40/100*Портфель!$Q$13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6" t="n">
        <v>45566</v>
      </c>
      <c r="B220" s="2" t="s">
        <v>1163</v>
      </c>
      <c r="C220" s="2" t="s">
        <v>117</v>
      </c>
      <c r="D220" s="2" t="s">
        <v>118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247</v>
      </c>
      <c r="J220" s="17" t="n">
        <v>594.98</v>
      </c>
      <c r="K220" s="6" t="s">
        <f>=Портфель!F40*Портфель!G40/100*Портфель!$Q$13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6" t="n">
        <v>45566</v>
      </c>
      <c r="B221" s="2" t="s">
        <v>1163</v>
      </c>
      <c r="C221" s="2" t="s">
        <v>117</v>
      </c>
      <c r="D221" s="2" t="s">
        <v>118</v>
      </c>
      <c r="E221" s="17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247</v>
      </c>
      <c r="J221" s="17" t="n">
        <v>594.76</v>
      </c>
      <c r="K221" s="6" t="s">
        <f>=Портфель!F40*Портфель!G40/100*Портфель!$Q$13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6" t="n">
        <v>45714</v>
      </c>
      <c r="B222" s="2" t="s">
        <v>1163</v>
      </c>
      <c r="C222" s="2" t="s">
        <v>117</v>
      </c>
      <c r="D222" s="2" t="s">
        <v>118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99</v>
      </c>
      <c r="J222" s="17" t="n">
        <v>664.15</v>
      </c>
      <c r="K222" s="6" t="s">
        <f>=Портфель!F40*Портфель!G40/100*Портфель!$Q$13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6" t="n">
        <v>45147</v>
      </c>
      <c r="B223" s="2" t="s">
        <v>1163</v>
      </c>
      <c r="C223" s="2" t="s">
        <v>120</v>
      </c>
      <c r="D223" s="2" t="s">
        <v>121</v>
      </c>
      <c r="E223" s="17" t="n">
        <v>3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666</v>
      </c>
      <c r="J223" s="17" t="n">
        <v>939.21</v>
      </c>
      <c r="K223" s="6" t="s">
        <f>=Портфель!F41*Портфель!G41/100*Портфель!$Q$13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6" t="n">
        <v>45303</v>
      </c>
      <c r="B224" s="2" t="s">
        <v>1163</v>
      </c>
      <c r="C224" s="2" t="s">
        <v>120</v>
      </c>
      <c r="D224" s="2" t="s">
        <v>121</v>
      </c>
      <c r="E224" s="17" t="n">
        <v>2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510</v>
      </c>
      <c r="J224" s="17" t="n">
        <v>871.295</v>
      </c>
      <c r="K224" s="6" t="s">
        <f>=Портфель!F41*Портфель!G41/100*Портфель!$Q$13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6" t="n">
        <v>45351</v>
      </c>
      <c r="B225" s="2" t="s">
        <v>1163</v>
      </c>
      <c r="C225" s="2" t="s">
        <v>120</v>
      </c>
      <c r="D225" s="2" t="s">
        <v>121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462</v>
      </c>
      <c r="J225" s="17" t="n">
        <v>855.56</v>
      </c>
      <c r="K225" s="6" t="s">
        <f>=Портфель!F41*Портфель!G41/100*Портфель!$Q$13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6" t="n">
        <v>45356</v>
      </c>
      <c r="B226" s="2" t="s">
        <v>1163</v>
      </c>
      <c r="C226" s="2" t="s">
        <v>120</v>
      </c>
      <c r="D226" s="2" t="s">
        <v>121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457</v>
      </c>
      <c r="J226" s="17" t="n">
        <v>849.91</v>
      </c>
      <c r="K226" s="6" t="s">
        <f>=Портфель!F41*Портфель!G41/100*Портфель!$Q$13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6" t="n">
        <v>45387</v>
      </c>
      <c r="B227" s="2" t="s">
        <v>1163</v>
      </c>
      <c r="C227" s="2" t="s">
        <v>120</v>
      </c>
      <c r="D227" s="2" t="s">
        <v>121</v>
      </c>
      <c r="E227" s="17" t="n">
        <v>1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426</v>
      </c>
      <c r="J227" s="17" t="n">
        <v>809.72</v>
      </c>
      <c r="K227" s="6" t="s">
        <f>=Портфель!F41*Портфель!G41/100*Портфель!$Q$13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6" t="n">
        <v>45447</v>
      </c>
      <c r="B228" s="2" t="s">
        <v>1163</v>
      </c>
      <c r="C228" s="2" t="s">
        <v>120</v>
      </c>
      <c r="D228" s="2" t="s">
        <v>121</v>
      </c>
      <c r="E228" s="17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366</v>
      </c>
      <c r="J228" s="17" t="n">
        <v>725.16</v>
      </c>
      <c r="K228" s="6" t="s">
        <f>=Портфель!F41*Портфель!G41/100*Портфель!$Q$13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6" t="n">
        <v>45506</v>
      </c>
      <c r="B229" s="2" t="s">
        <v>1163</v>
      </c>
      <c r="C229" s="2" t="s">
        <v>120</v>
      </c>
      <c r="D229" s="2" t="s">
        <v>121</v>
      </c>
      <c r="E229" s="17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307</v>
      </c>
      <c r="J229" s="17" t="n">
        <v>709.44</v>
      </c>
      <c r="K229" s="6" t="s">
        <f>=Портфель!F41*Портфель!G41/100*Портфель!$Q$13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6" t="n">
        <v>45714</v>
      </c>
      <c r="B230" s="2" t="s">
        <v>1163</v>
      </c>
      <c r="C230" s="2" t="s">
        <v>120</v>
      </c>
      <c r="D230" s="2" t="s">
        <v>121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99</v>
      </c>
      <c r="J230" s="17" t="n">
        <v>720.16</v>
      </c>
      <c r="K230" s="6" t="s">
        <f>=Портфель!F41*Портфель!G41/100*Портфель!$Q$13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6" t="n">
        <v>45776</v>
      </c>
      <c r="B231" s="2" t="s">
        <v>1163</v>
      </c>
      <c r="C231" s="2" t="s">
        <v>120</v>
      </c>
      <c r="D231" s="2" t="s">
        <v>121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37</v>
      </c>
      <c r="J231" s="17" t="n">
        <v>732.56</v>
      </c>
      <c r="K231" s="6" t="s">
        <f>=Портфель!F41*Портфель!G41/100*Портфель!$Q$13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6" t="n">
        <v>45303</v>
      </c>
      <c r="B232" s="2" t="s">
        <v>1163</v>
      </c>
      <c r="C232" s="2" t="s">
        <v>123</v>
      </c>
      <c r="D232" s="2" t="s">
        <v>124</v>
      </c>
      <c r="E232" s="17" t="n">
        <v>2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510</v>
      </c>
      <c r="J232" s="17" t="n">
        <v>886.795</v>
      </c>
      <c r="K232" s="6" t="s">
        <f>=Портфель!F42*Портфель!G42/100*Портфель!$Q$13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6" t="n">
        <v>45351</v>
      </c>
      <c r="B233" s="2" t="s">
        <v>1163</v>
      </c>
      <c r="C233" s="2" t="s">
        <v>123</v>
      </c>
      <c r="D233" s="2" t="s">
        <v>124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462</v>
      </c>
      <c r="J233" s="17" t="n">
        <v>888.26</v>
      </c>
      <c r="K233" s="6" t="s">
        <f>=Портфель!F42*Портфель!G42/100*Портфель!$Q$13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6" t="n">
        <v>45356</v>
      </c>
      <c r="B234" s="2" t="s">
        <v>1163</v>
      </c>
      <c r="C234" s="2" t="s">
        <v>123</v>
      </c>
      <c r="D234" s="2" t="s">
        <v>124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457</v>
      </c>
      <c r="J234" s="17" t="n">
        <v>882.57</v>
      </c>
      <c r="K234" s="6" t="s">
        <f>=Портфель!F42*Портфель!G42/100*Портфель!$Q$13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6" t="n">
        <v>45387</v>
      </c>
      <c r="B235" s="2" t="s">
        <v>1163</v>
      </c>
      <c r="C235" s="2" t="s">
        <v>123</v>
      </c>
      <c r="D235" s="2" t="s">
        <v>124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426</v>
      </c>
      <c r="J235" s="17" t="n">
        <v>852.04</v>
      </c>
      <c r="K235" s="6" t="s">
        <f>=Портфель!F42*Портфель!G42/100*Портфель!$Q$13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6" t="n">
        <v>45387</v>
      </c>
      <c r="B236" s="2" t="s">
        <v>1163</v>
      </c>
      <c r="C236" s="2" t="s">
        <v>123</v>
      </c>
      <c r="D236" s="2" t="s">
        <v>124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426</v>
      </c>
      <c r="J236" s="17" t="n">
        <v>851.49</v>
      </c>
      <c r="K236" s="6" t="s">
        <f>=Портфель!F42*Портфель!G42/100*Портфель!$Q$13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6" t="n">
        <v>45506</v>
      </c>
      <c r="B237" s="2" t="s">
        <v>1163</v>
      </c>
      <c r="C237" s="2" t="s">
        <v>123</v>
      </c>
      <c r="D237" s="2" t="s">
        <v>124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307</v>
      </c>
      <c r="J237" s="17" t="n">
        <v>757.91</v>
      </c>
      <c r="K237" s="6" t="s">
        <f>=Портфель!F42*Портфель!G42/100*Портфель!$Q$13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6" t="n">
        <v>45566</v>
      </c>
      <c r="B238" s="2" t="s">
        <v>1163</v>
      </c>
      <c r="C238" s="2" t="s">
        <v>123</v>
      </c>
      <c r="D238" s="2" t="s">
        <v>124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247</v>
      </c>
      <c r="J238" s="17" t="n">
        <v>731.87</v>
      </c>
      <c r="K238" s="6" t="s">
        <f>=Портфель!F42*Портфель!G42/100*Портфель!$Q$13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6" t="n">
        <v>45566</v>
      </c>
      <c r="B239" s="2" t="s">
        <v>1163</v>
      </c>
      <c r="C239" s="2" t="s">
        <v>123</v>
      </c>
      <c r="D239" s="2" t="s">
        <v>124</v>
      </c>
      <c r="E239" s="17" t="n">
        <v>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247</v>
      </c>
      <c r="J239" s="17" t="n">
        <v>732.37</v>
      </c>
      <c r="K239" s="6" t="s">
        <f>=Портфель!F42*Портфель!G42/100*Портфель!$Q$13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6" t="n">
        <v>45702</v>
      </c>
      <c r="B240" s="2" t="s">
        <v>1163</v>
      </c>
      <c r="C240" s="2" t="s">
        <v>123</v>
      </c>
      <c r="D240" s="2" t="s">
        <v>124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111</v>
      </c>
      <c r="J240" s="17" t="n">
        <v>778.45</v>
      </c>
      <c r="K240" s="6" t="s">
        <f>=Портфель!F42*Портфель!G42/100*Портфель!$Q$13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6" t="n">
        <v>45351</v>
      </c>
      <c r="B241" s="2" t="s">
        <v>1163</v>
      </c>
      <c r="C241" s="2" t="s">
        <v>126</v>
      </c>
      <c r="D241" s="2" t="s">
        <v>127</v>
      </c>
      <c r="E241" s="17" t="n">
        <v>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462</v>
      </c>
      <c r="J241" s="17" t="n">
        <v>865.68</v>
      </c>
      <c r="K241" s="6" t="s">
        <f>=Портфель!F43*Портфель!G43/100*Портфель!$Q$13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6" t="n">
        <v>45356</v>
      </c>
      <c r="B242" s="2" t="s">
        <v>1163</v>
      </c>
      <c r="C242" s="2" t="s">
        <v>126</v>
      </c>
      <c r="D242" s="2" t="s">
        <v>127</v>
      </c>
      <c r="E242" s="17" t="n">
        <v>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457</v>
      </c>
      <c r="J242" s="17" t="n">
        <v>860.33</v>
      </c>
      <c r="K242" s="6" t="s">
        <f>=Портфель!F43*Портфель!G43/100*Портфель!$Q$13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6" t="n">
        <v>45447</v>
      </c>
      <c r="B243" s="2" t="s">
        <v>1163</v>
      </c>
      <c r="C243" s="2" t="s">
        <v>126</v>
      </c>
      <c r="D243" s="2" t="s">
        <v>127</v>
      </c>
      <c r="E243" s="17" t="n">
        <v>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366</v>
      </c>
      <c r="J243" s="17" t="n">
        <v>750.19</v>
      </c>
      <c r="K243" s="6" t="s">
        <f>=Портфель!F43*Портфель!G43/100*Портфель!$Q$13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6" t="n">
        <v>45447</v>
      </c>
      <c r="B244" s="2" t="s">
        <v>1163</v>
      </c>
      <c r="C244" s="2" t="s">
        <v>126</v>
      </c>
      <c r="D244" s="2" t="s">
        <v>127</v>
      </c>
      <c r="E244" s="17" t="n">
        <v>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366</v>
      </c>
      <c r="J244" s="17" t="n">
        <v>749.51</v>
      </c>
      <c r="K244" s="6" t="s">
        <f>=Портфель!F43*Портфель!G43/100*Портфель!$Q$13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6" t="n">
        <v>45506</v>
      </c>
      <c r="B245" s="2" t="s">
        <v>1163</v>
      </c>
      <c r="C245" s="2" t="s">
        <v>126</v>
      </c>
      <c r="D245" s="2" t="s">
        <v>127</v>
      </c>
      <c r="E245" s="17" t="n">
        <v>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307</v>
      </c>
      <c r="J245" s="17" t="n">
        <v>746.13</v>
      </c>
      <c r="K245" s="6" t="s">
        <f>=Портфель!F43*Портфель!G43/100*Портфель!$Q$13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6" t="n">
        <v>45566</v>
      </c>
      <c r="B246" s="2" t="s">
        <v>1163</v>
      </c>
      <c r="C246" s="2" t="s">
        <v>126</v>
      </c>
      <c r="D246" s="2" t="s">
        <v>127</v>
      </c>
      <c r="E246" s="17" t="n">
        <v>1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247</v>
      </c>
      <c r="J246" s="17" t="n">
        <v>682.15</v>
      </c>
      <c r="K246" s="6" t="s">
        <f>=Портфель!F43*Портфель!G43/100*Портфель!$Q$13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6" t="n">
        <v>45566</v>
      </c>
      <c r="B247" s="2" t="s">
        <v>1163</v>
      </c>
      <c r="C247" s="2" t="s">
        <v>126</v>
      </c>
      <c r="D247" s="2" t="s">
        <v>127</v>
      </c>
      <c r="E247" s="17" t="n">
        <v>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247</v>
      </c>
      <c r="J247" s="17" t="n">
        <v>681.79</v>
      </c>
      <c r="K247" s="6" t="s">
        <f>=Портфель!F43*Портфель!G43/100*Портфель!$Q$13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6" t="n">
        <v>45702</v>
      </c>
      <c r="B248" s="2" t="s">
        <v>1163</v>
      </c>
      <c r="C248" s="2" t="s">
        <v>126</v>
      </c>
      <c r="D248" s="2" t="s">
        <v>127</v>
      </c>
      <c r="E248" s="17" t="n">
        <v>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111</v>
      </c>
      <c r="J248" s="17" t="n">
        <v>765.95</v>
      </c>
      <c r="K248" s="6" t="s">
        <f>=Портфель!F43*Портфель!G43/100*Портфель!$Q$13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6" t="n">
        <v>45702</v>
      </c>
      <c r="B249" s="2" t="s">
        <v>1163</v>
      </c>
      <c r="C249" s="2" t="s">
        <v>126</v>
      </c>
      <c r="D249" s="2" t="s">
        <v>127</v>
      </c>
      <c r="E249" s="17" t="n">
        <v>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111</v>
      </c>
      <c r="J249" s="17" t="n">
        <v>767.24</v>
      </c>
      <c r="K249" s="6" t="s">
        <f>=Портфель!F43*Портфель!G43/100*Портфель!$Q$13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6" t="n">
        <v>45714</v>
      </c>
      <c r="B250" s="2" t="s">
        <v>1163</v>
      </c>
      <c r="C250" s="2" t="s">
        <v>126</v>
      </c>
      <c r="D250" s="2" t="s">
        <v>127</v>
      </c>
      <c r="E250" s="17" t="n">
        <v>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99</v>
      </c>
      <c r="J250" s="17" t="n">
        <v>760.91</v>
      </c>
      <c r="K250" s="6" t="s">
        <f>=Портфель!F43*Портфель!G43/100*Портфель!$Q$13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6" t="n">
        <v>45566</v>
      </c>
      <c r="B251" s="2" t="s">
        <v>1163</v>
      </c>
      <c r="C251" s="2" t="s">
        <v>129</v>
      </c>
      <c r="D251" s="2" t="s">
        <v>130</v>
      </c>
      <c r="E251" s="17" t="n">
        <v>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247</v>
      </c>
      <c r="J251" s="17" t="n">
        <v>834.85</v>
      </c>
      <c r="K251" s="6" t="s">
        <f>=Портфель!F44*Портфель!G44/100*Портфель!$Q$13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6" t="n">
        <v>45702</v>
      </c>
      <c r="B252" s="2" t="s">
        <v>1163</v>
      </c>
      <c r="C252" s="2" t="s">
        <v>129</v>
      </c>
      <c r="D252" s="2" t="s">
        <v>130</v>
      </c>
      <c r="E252" s="17" t="n">
        <v>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111</v>
      </c>
      <c r="J252" s="17" t="n">
        <v>856.46</v>
      </c>
      <c r="K252" s="6" t="s">
        <f>=Портфель!F44*Портфель!G44/100*Портфель!$Q$13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6" t="n">
        <v>45702</v>
      </c>
      <c r="B253" s="2" t="s">
        <v>1163</v>
      </c>
      <c r="C253" s="2" t="s">
        <v>129</v>
      </c>
      <c r="D253" s="2" t="s">
        <v>130</v>
      </c>
      <c r="E253" s="17" t="n">
        <v>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111</v>
      </c>
      <c r="J253" s="17" t="n">
        <v>857.05</v>
      </c>
      <c r="K253" s="6" t="s">
        <f>=Портфель!F44*Портфель!G44/100*Портфель!$Q$13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6" t="n">
        <v>45702</v>
      </c>
      <c r="B254" s="2" t="s">
        <v>1163</v>
      </c>
      <c r="C254" s="2" t="s">
        <v>129</v>
      </c>
      <c r="D254" s="2" t="s">
        <v>130</v>
      </c>
      <c r="E254" s="17" t="n">
        <v>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111</v>
      </c>
      <c r="J254" s="17" t="n">
        <v>857.06</v>
      </c>
      <c r="K254" s="6" t="s">
        <f>=Портфель!F44*Портфель!G44/100*Портфель!$Q$13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6" t="n">
        <v>45714</v>
      </c>
      <c r="B255" s="2" t="s">
        <v>1163</v>
      </c>
      <c r="C255" s="2" t="s">
        <v>129</v>
      </c>
      <c r="D255" s="2" t="s">
        <v>130</v>
      </c>
      <c r="E255" s="17" t="n">
        <v>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99</v>
      </c>
      <c r="J255" s="17" t="n">
        <v>822.39</v>
      </c>
      <c r="K255" s="6" t="s">
        <f>=Портфель!F44*Портфель!G44/100*Портфель!$Q$13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6" t="n">
        <v>45714</v>
      </c>
      <c r="B256" s="2" t="s">
        <v>1163</v>
      </c>
      <c r="C256" s="2" t="s">
        <v>129</v>
      </c>
      <c r="D256" s="2" t="s">
        <v>130</v>
      </c>
      <c r="E256" s="17" t="n">
        <v>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99</v>
      </c>
      <c r="J256" s="17" t="n">
        <v>822.39</v>
      </c>
      <c r="K256" s="6" t="s">
        <f>=Портфель!F44*Портфель!G44/100*Портфель!$Q$13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6" t="n">
        <v>45714</v>
      </c>
      <c r="B257" s="2" t="s">
        <v>1163</v>
      </c>
      <c r="C257" s="2" t="s">
        <v>129</v>
      </c>
      <c r="D257" s="2" t="s">
        <v>130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99</v>
      </c>
      <c r="J257" s="17" t="n">
        <v>822.2</v>
      </c>
      <c r="K257" s="6" t="s">
        <f>=Портфель!F44*Портфель!G44/100*Портфель!$Q$13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6" t="n">
        <v>45776</v>
      </c>
      <c r="B258" s="2" t="s">
        <v>1163</v>
      </c>
      <c r="C258" s="2" t="s">
        <v>129</v>
      </c>
      <c r="D258" s="2" t="s">
        <v>130</v>
      </c>
      <c r="E258" s="17" t="n">
        <v>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37</v>
      </c>
      <c r="J258" s="17" t="n">
        <v>868.78</v>
      </c>
      <c r="K258" s="6" t="s">
        <f>=Портфель!F44*Портфель!G44/100*Портфель!$Q$13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6" t="n">
        <v>44868</v>
      </c>
      <c r="B259" s="2" t="s">
        <v>1163</v>
      </c>
      <c r="C259" s="2" t="s">
        <v>132</v>
      </c>
      <c r="D259" s="2" t="s">
        <v>133</v>
      </c>
      <c r="E259" s="17" t="n">
        <v>1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945</v>
      </c>
      <c r="J259" s="17" t="n">
        <v>870.54</v>
      </c>
      <c r="K259" s="6" t="s">
        <f>=Портфель!F45*Портфель!G45/100*Портфель!$Q$13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6" t="n">
        <v>45240</v>
      </c>
      <c r="B260" s="2" t="s">
        <v>1163</v>
      </c>
      <c r="C260" s="2" t="s">
        <v>132</v>
      </c>
      <c r="D260" s="2" t="s">
        <v>133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573</v>
      </c>
      <c r="J260" s="17" t="n">
        <v>805.83</v>
      </c>
      <c r="K260" s="6" t="s">
        <f>=Портфель!F45*Портфель!G45/100*Портфель!$Q$13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6" t="n">
        <v>45387</v>
      </c>
      <c r="B261" s="2" t="s">
        <v>1163</v>
      </c>
      <c r="C261" s="2" t="s">
        <v>132</v>
      </c>
      <c r="D261" s="2" t="s">
        <v>133</v>
      </c>
      <c r="E261" s="17" t="n">
        <v>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426</v>
      </c>
      <c r="J261" s="17" t="n">
        <v>724.94</v>
      </c>
      <c r="K261" s="6" t="s">
        <f>=Портфель!F45*Портфель!G45/100*Портфель!$Q$13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6" t="n">
        <v>45387</v>
      </c>
      <c r="B262" s="2" t="s">
        <v>1163</v>
      </c>
      <c r="C262" s="2" t="s">
        <v>132</v>
      </c>
      <c r="D262" s="2" t="s">
        <v>133</v>
      </c>
      <c r="E262" s="17" t="n">
        <v>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426</v>
      </c>
      <c r="J262" s="17" t="n">
        <v>724.95</v>
      </c>
      <c r="K262" s="6" t="s">
        <f>=Портфель!F45*Портфель!G45/100*Портфель!$Q$13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6" t="n">
        <v>45447</v>
      </c>
      <c r="B263" s="2" t="s">
        <v>1163</v>
      </c>
      <c r="C263" s="2" t="s">
        <v>132</v>
      </c>
      <c r="D263" s="2" t="s">
        <v>133</v>
      </c>
      <c r="E263" s="17" t="n">
        <v>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366</v>
      </c>
      <c r="J263" s="17" t="n">
        <v>690.86</v>
      </c>
      <c r="K263" s="6" t="s">
        <f>=Портфель!F45*Портфель!G45/100*Портфель!$Q$13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6" t="n">
        <v>45506</v>
      </c>
      <c r="B264" s="2" t="s">
        <v>1163</v>
      </c>
      <c r="C264" s="2" t="s">
        <v>132</v>
      </c>
      <c r="D264" s="2" t="s">
        <v>133</v>
      </c>
      <c r="E264" s="17" t="n">
        <v>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307</v>
      </c>
      <c r="J264" s="17" t="n">
        <v>687.35</v>
      </c>
      <c r="K264" s="6" t="s">
        <f>=Портфель!F45*Портфель!G45/100*Портфель!$Q$13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6" t="n">
        <v>45566</v>
      </c>
      <c r="B265" s="2" t="s">
        <v>1163</v>
      </c>
      <c r="C265" s="2" t="s">
        <v>132</v>
      </c>
      <c r="D265" s="2" t="s">
        <v>133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247</v>
      </c>
      <c r="J265" s="17" t="n">
        <v>625.06</v>
      </c>
      <c r="K265" s="6" t="s">
        <f>=Портфель!F45*Портфель!G45/100*Портфель!$Q$13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6" t="n">
        <v>45702</v>
      </c>
      <c r="B266" s="2" t="s">
        <v>1163</v>
      </c>
      <c r="C266" s="2" t="s">
        <v>132</v>
      </c>
      <c r="D266" s="2" t="s">
        <v>133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111</v>
      </c>
      <c r="J266" s="17" t="n">
        <v>693.52</v>
      </c>
      <c r="K266" s="6" t="s">
        <f>=Портфель!F45*Портфель!G45/100*Портфель!$Q$13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6" t="n">
        <v>45702</v>
      </c>
      <c r="B267" s="2" t="s">
        <v>1163</v>
      </c>
      <c r="C267" s="2" t="s">
        <v>132</v>
      </c>
      <c r="D267" s="2" t="s">
        <v>133</v>
      </c>
      <c r="E267" s="17" t="n">
        <v>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111</v>
      </c>
      <c r="J267" s="17" t="n">
        <v>695.04</v>
      </c>
      <c r="K267" s="6" t="s">
        <f>=Портфель!F45*Портфель!G45/100*Портфель!$Q$13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6" t="n">
        <v>45776</v>
      </c>
      <c r="B268" s="2" t="s">
        <v>1163</v>
      </c>
      <c r="C268" s="2" t="s">
        <v>132</v>
      </c>
      <c r="D268" s="2" t="s">
        <v>133</v>
      </c>
      <c r="E268" s="17" t="n">
        <v>1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37</v>
      </c>
      <c r="J268" s="17" t="n">
        <v>667.6</v>
      </c>
      <c r="K268" s="6" t="s">
        <f>=Портфель!F45*Портфель!G45/100*Портфель!$Q$13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6" t="n">
        <v>44708</v>
      </c>
      <c r="B269" s="2" t="s">
        <v>1163</v>
      </c>
      <c r="C269" s="2" t="s">
        <v>135</v>
      </c>
      <c r="D269" s="2" t="s">
        <v>136</v>
      </c>
      <c r="E269" s="17" t="n">
        <v>1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1105</v>
      </c>
      <c r="J269" s="17" t="n">
        <v>858.05</v>
      </c>
      <c r="K269" s="6" t="s">
        <f>=Портфель!F46*Портфель!G46/100*Портфель!$Q$13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6" t="n">
        <v>44868</v>
      </c>
      <c r="B270" s="2" t="s">
        <v>1163</v>
      </c>
      <c r="C270" s="2" t="s">
        <v>135</v>
      </c>
      <c r="D270" s="2" t="s">
        <v>136</v>
      </c>
      <c r="E270" s="17" t="n">
        <v>1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945</v>
      </c>
      <c r="J270" s="17" t="n">
        <v>856.43</v>
      </c>
      <c r="K270" s="6" t="s">
        <f>=Портфель!F46*Портфель!G46/100*Портфель!$Q$13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6" t="n">
        <v>45006</v>
      </c>
      <c r="B271" s="2" t="s">
        <v>1163</v>
      </c>
      <c r="C271" s="2" t="s">
        <v>135</v>
      </c>
      <c r="D271" s="2" t="s">
        <v>136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807</v>
      </c>
      <c r="J271" s="17" t="n">
        <v>823.33</v>
      </c>
      <c r="K271" s="6" t="s">
        <f>=Портфель!F46*Портфель!G46/100*Портфель!$Q$13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6" t="n">
        <v>45184</v>
      </c>
      <c r="B272" s="2" t="s">
        <v>1163</v>
      </c>
      <c r="C272" s="2" t="s">
        <v>135</v>
      </c>
      <c r="D272" s="2" t="s">
        <v>136</v>
      </c>
      <c r="E272" s="17" t="n">
        <v>1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629</v>
      </c>
      <c r="J272" s="17" t="n">
        <v>779.89</v>
      </c>
      <c r="K272" s="6" t="s">
        <f>=Портфель!F46*Портфель!G46/100*Портфель!$Q$13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6" t="n">
        <v>45184</v>
      </c>
      <c r="B273" s="2" t="s">
        <v>1163</v>
      </c>
      <c r="C273" s="2" t="s">
        <v>135</v>
      </c>
      <c r="D273" s="2" t="s">
        <v>136</v>
      </c>
      <c r="E273" s="17" t="n">
        <v>1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629</v>
      </c>
      <c r="J273" s="17" t="n">
        <v>780.39</v>
      </c>
      <c r="K273" s="6" t="s">
        <f>=Портфель!F46*Портфель!G46/100*Портфель!$Q$13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6" t="n">
        <v>45240</v>
      </c>
      <c r="B274" s="2" t="s">
        <v>1163</v>
      </c>
      <c r="C274" s="2" t="s">
        <v>135</v>
      </c>
      <c r="D274" s="2" t="s">
        <v>136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573</v>
      </c>
      <c r="J274" s="17" t="n">
        <v>791.63</v>
      </c>
      <c r="K274" s="6" t="s">
        <f>=Портфель!F46*Портфель!G46/100*Портфель!$Q$13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6" t="n">
        <v>45356</v>
      </c>
      <c r="B275" s="2" t="s">
        <v>1163</v>
      </c>
      <c r="C275" s="2" t="s">
        <v>135</v>
      </c>
      <c r="D275" s="2" t="s">
        <v>136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457</v>
      </c>
      <c r="J275" s="17" t="n">
        <v>739.35</v>
      </c>
      <c r="K275" s="6" t="s">
        <f>=Портфель!F46*Портфель!G46/100*Портфель!$Q$13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6" t="n">
        <v>45387</v>
      </c>
      <c r="B276" s="2" t="s">
        <v>1163</v>
      </c>
      <c r="C276" s="2" t="s">
        <v>135</v>
      </c>
      <c r="D276" s="2" t="s">
        <v>136</v>
      </c>
      <c r="E276" s="17" t="n">
        <v>1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426</v>
      </c>
      <c r="J276" s="17" t="n">
        <v>707.93</v>
      </c>
      <c r="K276" s="6" t="s">
        <f>=Портфель!F46*Портфель!G46/100*Портфель!$Q$13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6" t="n">
        <v>45387</v>
      </c>
      <c r="B277" s="2" t="s">
        <v>1163</v>
      </c>
      <c r="C277" s="2" t="s">
        <v>135</v>
      </c>
      <c r="D277" s="2" t="s">
        <v>136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426</v>
      </c>
      <c r="J277" s="17" t="n">
        <v>707.93</v>
      </c>
      <c r="K277" s="6" t="s">
        <f>=Портфель!F46*Портфель!G46/100*Портфель!$Q$13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6" t="n">
        <v>45714</v>
      </c>
      <c r="B278" s="2" t="s">
        <v>1163</v>
      </c>
      <c r="C278" s="2" t="s">
        <v>135</v>
      </c>
      <c r="D278" s="2" t="s">
        <v>136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99</v>
      </c>
      <c r="J278" s="17" t="n">
        <v>627.39</v>
      </c>
      <c r="K278" s="6" t="s">
        <f>=Портфель!F46*Портфель!G46/100*Портфель!$Q$13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6" t="n">
        <v>45303</v>
      </c>
      <c r="B279" s="2" t="s">
        <v>1163</v>
      </c>
      <c r="C279" s="2" t="s">
        <v>138</v>
      </c>
      <c r="D279" s="2" t="s">
        <v>139</v>
      </c>
      <c r="E279" s="17" t="n">
        <v>2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510</v>
      </c>
      <c r="J279" s="17" t="n">
        <v>992.17</v>
      </c>
      <c r="K279" s="6" t="s">
        <f>=Портфель!F47*Портфель!G47/100*Портфель!$Q$13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6" t="n">
        <v>45351</v>
      </c>
      <c r="B280" s="2" t="s">
        <v>1163</v>
      </c>
      <c r="C280" s="2" t="s">
        <v>138</v>
      </c>
      <c r="D280" s="2" t="s">
        <v>139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462</v>
      </c>
      <c r="J280" s="17" t="n">
        <v>983.28</v>
      </c>
      <c r="K280" s="6" t="s">
        <f>=Портфель!F47*Портфель!G47/100*Портфель!$Q$13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6" t="n">
        <v>45356</v>
      </c>
      <c r="B281" s="2" t="s">
        <v>1163</v>
      </c>
      <c r="C281" s="2" t="s">
        <v>138</v>
      </c>
      <c r="D281" s="2" t="s">
        <v>139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457</v>
      </c>
      <c r="J281" s="17" t="n">
        <v>975.29</v>
      </c>
      <c r="K281" s="6" t="s">
        <f>=Портфель!F47*Портфель!G47/100*Портфель!$Q$13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6" t="n">
        <v>45387</v>
      </c>
      <c r="B282" s="2" t="s">
        <v>1163</v>
      </c>
      <c r="C282" s="2" t="s">
        <v>138</v>
      </c>
      <c r="D282" s="2" t="s">
        <v>139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426</v>
      </c>
      <c r="J282" s="17" t="n">
        <v>898.85</v>
      </c>
      <c r="K282" s="6" t="s">
        <f>=Портфель!F47*Портфель!G47/100*Портфель!$Q$13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6" t="n">
        <v>45387</v>
      </c>
      <c r="B283" s="2" t="s">
        <v>1163</v>
      </c>
      <c r="C283" s="2" t="s">
        <v>138</v>
      </c>
      <c r="D283" s="2" t="s">
        <v>139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426</v>
      </c>
      <c r="J283" s="17" t="n">
        <v>898.68</v>
      </c>
      <c r="K283" s="6" t="s">
        <f>=Портфель!F47*Портфель!G47/100*Портфель!$Q$13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6" t="n">
        <v>45506</v>
      </c>
      <c r="B284" s="2" t="s">
        <v>1163</v>
      </c>
      <c r="C284" s="2" t="s">
        <v>138</v>
      </c>
      <c r="D284" s="2" t="s">
        <v>139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307</v>
      </c>
      <c r="J284" s="17" t="n">
        <v>852.79</v>
      </c>
      <c r="K284" s="6" t="s">
        <f>=Портфель!F47*Портфель!G47/100*Портфель!$Q$13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6" t="n">
        <v>44903</v>
      </c>
      <c r="B285" s="2" t="s">
        <v>1163</v>
      </c>
      <c r="C285" s="2" t="s">
        <v>141</v>
      </c>
      <c r="D285" s="2" t="s">
        <v>142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910</v>
      </c>
      <c r="J285" s="17" t="n">
        <v>1060.71</v>
      </c>
      <c r="K285" s="6" t="s">
        <f>=Портфель!F48*Портфель!G48/100*Портфель!$Q$13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6" t="n">
        <v>44950</v>
      </c>
      <c r="B286" s="2" t="s">
        <v>1163</v>
      </c>
      <c r="C286" s="2" t="s">
        <v>141</v>
      </c>
      <c r="D286" s="2" t="s">
        <v>142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863</v>
      </c>
      <c r="J286" s="17" t="n">
        <v>1081.49</v>
      </c>
      <c r="K286" s="6" t="s">
        <f>=Портфель!F48*Портфель!G48/100*Портфель!$Q$13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6" t="n">
        <v>45447</v>
      </c>
      <c r="B287" s="2" t="s">
        <v>1163</v>
      </c>
      <c r="C287" s="2" t="s">
        <v>141</v>
      </c>
      <c r="D287" s="2" t="s">
        <v>142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366</v>
      </c>
      <c r="J287" s="17" t="n">
        <v>1075.09</v>
      </c>
      <c r="K287" s="6" t="s">
        <f>=Портфель!F48*Портфель!G48/100*Портфель!$Q$13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6" t="n">
        <v>45447</v>
      </c>
      <c r="B288" s="2" t="s">
        <v>1163</v>
      </c>
      <c r="C288" s="2" t="s">
        <v>141</v>
      </c>
      <c r="D288" s="2" t="s">
        <v>142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366</v>
      </c>
      <c r="J288" s="17" t="n">
        <v>1075.09</v>
      </c>
      <c r="K288" s="6" t="s">
        <f>=Портфель!F48*Портфель!G48/100*Портфель!$Q$13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6" t="n">
        <v>45506</v>
      </c>
      <c r="B289" s="2" t="s">
        <v>1163</v>
      </c>
      <c r="C289" s="2" t="s">
        <v>141</v>
      </c>
      <c r="D289" s="2" t="s">
        <v>142</v>
      </c>
      <c r="E289" s="17" t="n">
        <v>1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307</v>
      </c>
      <c r="J289" s="17" t="n">
        <v>1099.94</v>
      </c>
      <c r="K289" s="6" t="s">
        <f>=Портфель!F48*Портфель!G48/100*Портфель!$Q$13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6" t="n">
        <v>45702</v>
      </c>
      <c r="B290" s="2" t="s">
        <v>1163</v>
      </c>
      <c r="C290" s="2" t="s">
        <v>144</v>
      </c>
      <c r="D290" s="2" t="s">
        <v>145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111</v>
      </c>
      <c r="J290" s="17" t="n">
        <v>886.71</v>
      </c>
      <c r="K290" s="6" t="s">
        <f>=Портфель!F49*Портфель!G49/100*Портфель!$Q$13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6" t="n">
        <v>45702</v>
      </c>
      <c r="B291" s="2" t="s">
        <v>1163</v>
      </c>
      <c r="C291" s="2" t="s">
        <v>144</v>
      </c>
      <c r="D291" s="2" t="s">
        <v>145</v>
      </c>
      <c r="E291" s="17" t="n">
        <v>1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111</v>
      </c>
      <c r="J291" s="17" t="n">
        <v>886.67</v>
      </c>
      <c r="K291" s="6" t="s">
        <f>=Портфель!F49*Портфель!G49/100*Портфель!$Q$13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6" t="n">
        <v>45714</v>
      </c>
      <c r="B292" s="2" t="s">
        <v>1163</v>
      </c>
      <c r="C292" s="2" t="s">
        <v>144</v>
      </c>
      <c r="D292" s="2" t="s">
        <v>145</v>
      </c>
      <c r="E292" s="17" t="n">
        <v>1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99</v>
      </c>
      <c r="J292" s="17" t="n">
        <v>858.07</v>
      </c>
      <c r="K292" s="6" t="s">
        <f>=Портфель!F49*Портфель!G49/100*Портфель!$Q$13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6" t="n">
        <v>45714</v>
      </c>
      <c r="B293" s="2" t="s">
        <v>1163</v>
      </c>
      <c r="C293" s="2" t="s">
        <v>144</v>
      </c>
      <c r="D293" s="2" t="s">
        <v>145</v>
      </c>
      <c r="E293" s="17" t="n">
        <v>1</v>
      </c>
      <c r="F293" s="7" t="s">
        <f>=DATEDIF(A293,$N$2,"y")</f>
      </c>
      <c r="G293" s="7" t="s">
        <f>=DATEDIF(A293,$N$2,"ym")</f>
      </c>
      <c r="H293" s="7" t="s">
        <f>=DATEDIF(A293,$N$2,"md")</f>
      </c>
      <c r="I293" s="7" t="n">
        <v>99</v>
      </c>
      <c r="J293" s="17" t="n">
        <v>858.07</v>
      </c>
      <c r="K293" s="6" t="s">
        <f>=Портфель!F49*Портфель!G49/100*Портфель!$Q$13</f>
      </c>
      <c r="L293" s="6" t="s">
        <f>=(K293-J293)*E293</f>
      </c>
      <c r="M293" s="6" t="s">
        <f>=MAX(0,L293*0.13)</f>
      </c>
    </row>
    <row collapsed="false" customFormat="false" customHeight="false" hidden="false" ht="12.1" outlineLevel="0" r="294">
      <c r="A294" s="36" t="n">
        <v>45714</v>
      </c>
      <c r="B294" s="2" t="s">
        <v>1163</v>
      </c>
      <c r="C294" s="2" t="s">
        <v>144</v>
      </c>
      <c r="D294" s="2" t="s">
        <v>145</v>
      </c>
      <c r="E294" s="17" t="n">
        <v>1</v>
      </c>
      <c r="F294" s="7" t="s">
        <f>=DATEDIF(A294,$N$2,"y")</f>
      </c>
      <c r="G294" s="7" t="s">
        <f>=DATEDIF(A294,$N$2,"ym")</f>
      </c>
      <c r="H294" s="7" t="s">
        <f>=DATEDIF(A294,$N$2,"md")</f>
      </c>
      <c r="I294" s="7" t="n">
        <v>99</v>
      </c>
      <c r="J294" s="17" t="n">
        <v>858.07</v>
      </c>
      <c r="K294" s="6" t="s">
        <f>=Портфель!F49*Портфель!G49/100*Портфель!$Q$13</f>
      </c>
      <c r="L294" s="6" t="s">
        <f>=(K294-J294)*E294</f>
      </c>
      <c r="M294" s="6" t="s">
        <f>=MAX(0,L294*0.13)</f>
      </c>
    </row>
    <row collapsed="false" customFormat="false" customHeight="false" hidden="false" ht="12.1" outlineLevel="0" r="295">
      <c r="A295" s="36" t="n">
        <v>45776</v>
      </c>
      <c r="B295" s="2" t="s">
        <v>1163</v>
      </c>
      <c r="C295" s="2" t="s">
        <v>144</v>
      </c>
      <c r="D295" s="2" t="s">
        <v>145</v>
      </c>
      <c r="E295" s="17" t="n">
        <v>1</v>
      </c>
      <c r="F295" s="7" t="s">
        <f>=DATEDIF(A295,$N$2,"y")</f>
      </c>
      <c r="G295" s="7" t="s">
        <f>=DATEDIF(A295,$N$2,"ym")</f>
      </c>
      <c r="H295" s="7" t="s">
        <f>=DATEDIF(A295,$N$2,"md")</f>
      </c>
      <c r="I295" s="7" t="n">
        <v>37</v>
      </c>
      <c r="J295" s="17" t="n">
        <v>837.69</v>
      </c>
      <c r="K295" s="6" t="s">
        <f>=Портфель!F49*Портфель!G49/100*Портфель!$Q$13</f>
      </c>
      <c r="L295" s="6" t="s">
        <f>=(K295-J295)*E295</f>
      </c>
      <c r="M295" s="6" t="s">
        <f>=MAX(0,L295*0.13)</f>
      </c>
    </row>
    <row collapsed="false" customFormat="false" customHeight="false" hidden="false" ht="12.1" outlineLevel="0" r="296">
      <c r="A296" s="36" t="n">
        <v>45566</v>
      </c>
      <c r="B296" s="2" t="s">
        <v>1163</v>
      </c>
      <c r="C296" s="2" t="s">
        <v>147</v>
      </c>
      <c r="D296" s="2" t="s">
        <v>148</v>
      </c>
      <c r="E296" s="17" t="n">
        <v>1</v>
      </c>
      <c r="F296" s="7" t="s">
        <f>=DATEDIF(A296,$N$2,"y")</f>
      </c>
      <c r="G296" s="7" t="s">
        <f>=DATEDIF(A296,$N$2,"ym")</f>
      </c>
      <c r="H296" s="7" t="s">
        <f>=DATEDIF(A296,$N$2,"md")</f>
      </c>
      <c r="I296" s="7" t="n">
        <v>247</v>
      </c>
      <c r="J296" s="17" t="n">
        <v>836.65</v>
      </c>
      <c r="K296" s="6" t="s">
        <f>=Портфель!F50*Портфель!G50/100*Портфель!$Q$13</f>
      </c>
      <c r="L296" s="6" t="s">
        <f>=(K296-J296)*E296</f>
      </c>
      <c r="M296" s="6" t="s">
        <f>=MAX(0,L296*0.13)</f>
      </c>
    </row>
    <row collapsed="false" customFormat="false" customHeight="false" hidden="false" ht="12.1" outlineLevel="0" r="297">
      <c r="A297" s="36" t="n">
        <v>45702</v>
      </c>
      <c r="B297" s="2" t="s">
        <v>1163</v>
      </c>
      <c r="C297" s="2" t="s">
        <v>147</v>
      </c>
      <c r="D297" s="2" t="s">
        <v>148</v>
      </c>
      <c r="E297" s="17" t="n">
        <v>1</v>
      </c>
      <c r="F297" s="7" t="s">
        <f>=DATEDIF(A297,$N$2,"y")</f>
      </c>
      <c r="G297" s="7" t="s">
        <f>=DATEDIF(A297,$N$2,"ym")</f>
      </c>
      <c r="H297" s="7" t="s">
        <f>=DATEDIF(A297,$N$2,"md")</f>
      </c>
      <c r="I297" s="7" t="n">
        <v>111</v>
      </c>
      <c r="J297" s="17" t="n">
        <v>864.43</v>
      </c>
      <c r="K297" s="6" t="s">
        <f>=Портфель!F50*Портфель!G50/100*Портфель!$Q$13</f>
      </c>
      <c r="L297" s="6" t="s">
        <f>=(K297-J297)*E297</f>
      </c>
      <c r="M297" s="6" t="s">
        <f>=MAX(0,L297*0.13)</f>
      </c>
    </row>
    <row collapsed="false" customFormat="false" customHeight="false" hidden="false" ht="12.1" outlineLevel="0" r="298">
      <c r="A298" s="36" t="n">
        <v>45714</v>
      </c>
      <c r="B298" s="2" t="s">
        <v>1163</v>
      </c>
      <c r="C298" s="2" t="s">
        <v>147</v>
      </c>
      <c r="D298" s="2" t="s">
        <v>148</v>
      </c>
      <c r="E298" s="17" t="n">
        <v>1</v>
      </c>
      <c r="F298" s="7" t="s">
        <f>=DATEDIF(A298,$N$2,"y")</f>
      </c>
      <c r="G298" s="7" t="s">
        <f>=DATEDIF(A298,$N$2,"ym")</f>
      </c>
      <c r="H298" s="7" t="s">
        <f>=DATEDIF(A298,$N$2,"md")</f>
      </c>
      <c r="I298" s="7" t="n">
        <v>99</v>
      </c>
      <c r="J298" s="17" t="n">
        <v>829.06</v>
      </c>
      <c r="K298" s="6" t="s">
        <f>=Портфель!F50*Портфель!G50/100*Портфель!$Q$13</f>
      </c>
      <c r="L298" s="6" t="s">
        <f>=(K298-J298)*E298</f>
      </c>
      <c r="M298" s="6" t="s">
        <f>=MAX(0,L298*0.13)</f>
      </c>
    </row>
    <row collapsed="false" customFormat="false" customHeight="false" hidden="false" ht="12.1" outlineLevel="0" r="299">
      <c r="A299" s="36" t="n">
        <v>45714</v>
      </c>
      <c r="B299" s="2" t="s">
        <v>1163</v>
      </c>
      <c r="C299" s="2" t="s">
        <v>147</v>
      </c>
      <c r="D299" s="2" t="s">
        <v>148</v>
      </c>
      <c r="E299" s="17" t="n">
        <v>1</v>
      </c>
      <c r="F299" s="7" t="s">
        <f>=DATEDIF(A299,$N$2,"y")</f>
      </c>
      <c r="G299" s="7" t="s">
        <f>=DATEDIF(A299,$N$2,"ym")</f>
      </c>
      <c r="H299" s="7" t="s">
        <f>=DATEDIF(A299,$N$2,"md")</f>
      </c>
      <c r="I299" s="7" t="n">
        <v>99</v>
      </c>
      <c r="J299" s="17" t="n">
        <v>829.05</v>
      </c>
      <c r="K299" s="6" t="s">
        <f>=Портфель!F50*Портфель!G50/100*Портфель!$Q$13</f>
      </c>
      <c r="L299" s="6" t="s">
        <f>=(K299-J299)*E299</f>
      </c>
      <c r="M299" s="6" t="s">
        <f>=MAX(0,L299*0.13)</f>
      </c>
    </row>
    <row collapsed="false" customFormat="false" customHeight="false" hidden="false" ht="12.1" outlineLevel="0" r="300">
      <c r="A300" s="36" t="n">
        <v>45714</v>
      </c>
      <c r="B300" s="2" t="s">
        <v>1163</v>
      </c>
      <c r="C300" s="2" t="s">
        <v>147</v>
      </c>
      <c r="D300" s="2" t="s">
        <v>148</v>
      </c>
      <c r="E300" s="17" t="n">
        <v>1</v>
      </c>
      <c r="F300" s="7" t="s">
        <f>=DATEDIF(A300,$N$2,"y")</f>
      </c>
      <c r="G300" s="7" t="s">
        <f>=DATEDIF(A300,$N$2,"ym")</f>
      </c>
      <c r="H300" s="7" t="s">
        <f>=DATEDIF(A300,$N$2,"md")</f>
      </c>
      <c r="I300" s="7" t="n">
        <v>99</v>
      </c>
      <c r="J300" s="17" t="n">
        <v>829.25</v>
      </c>
      <c r="K300" s="6" t="s">
        <f>=Портфель!F50*Портфель!G50/100*Портфель!$Q$13</f>
      </c>
      <c r="L300" s="6" t="s">
        <f>=(K300-J300)*E300</f>
      </c>
      <c r="M300" s="6" t="s">
        <f>=MAX(0,L300*0.13)</f>
      </c>
    </row>
    <row collapsed="false" customFormat="false" customHeight="false" hidden="false" ht="12.1" outlineLevel="0" r="301">
      <c r="A301" s="36" t="n">
        <v>45776</v>
      </c>
      <c r="B301" s="2" t="s">
        <v>1163</v>
      </c>
      <c r="C301" s="2" t="s">
        <v>147</v>
      </c>
      <c r="D301" s="2" t="s">
        <v>148</v>
      </c>
      <c r="E301" s="17" t="n">
        <v>1</v>
      </c>
      <c r="F301" s="7" t="s">
        <f>=DATEDIF(A301,$N$2,"y")</f>
      </c>
      <c r="G301" s="7" t="s">
        <f>=DATEDIF(A301,$N$2,"ym")</f>
      </c>
      <c r="H301" s="7" t="s">
        <f>=DATEDIF(A301,$N$2,"md")</f>
      </c>
      <c r="I301" s="7" t="n">
        <v>37</v>
      </c>
      <c r="J301" s="17" t="n">
        <v>873.64</v>
      </c>
      <c r="K301" s="6" t="s">
        <f>=Портфель!F50*Портфель!G50/100*Портфель!$Q$13</f>
      </c>
      <c r="L301" s="6" t="s">
        <f>=(K301-J301)*E301</f>
      </c>
      <c r="M301" s="6" t="s">
        <f>=MAX(0,L301*0.13)</f>
      </c>
    </row>
    <row collapsed="false" customFormat="false" customHeight="false" hidden="false" ht="12.1" outlineLevel="0" r="302">
      <c r="A302" s="36" t="n">
        <v>45026</v>
      </c>
      <c r="B302" s="2" t="s">
        <v>1163</v>
      </c>
      <c r="C302" s="2" t="s">
        <v>150</v>
      </c>
      <c r="D302" s="2" t="s">
        <v>151</v>
      </c>
      <c r="E302" s="17" t="n">
        <v>1</v>
      </c>
      <c r="F302" s="7" t="s">
        <f>=DATEDIF(A302,$N$2,"y")</f>
      </c>
      <c r="G302" s="7" t="s">
        <f>=DATEDIF(A302,$N$2,"ym")</f>
      </c>
      <c r="H302" s="7" t="s">
        <f>=DATEDIF(A302,$N$2,"md")</f>
      </c>
      <c r="I302" s="7" t="n">
        <v>787</v>
      </c>
      <c r="J302" s="17" t="n">
        <v>1027.73</v>
      </c>
      <c r="K302" s="6" t="s">
        <f>=Портфель!F51*Портфель!G51/100*Портфель!$Q$13</f>
      </c>
      <c r="L302" s="6" t="s">
        <f>=(K302-J302)*E302</f>
      </c>
      <c r="M302" s="6" t="s">
        <f>=MAX(0,L302*0.13)</f>
      </c>
    </row>
    <row collapsed="false" customFormat="false" customHeight="false" hidden="false" ht="12.1" outlineLevel="0" r="303">
      <c r="A303" s="36" t="n">
        <v>45026</v>
      </c>
      <c r="B303" s="2" t="s">
        <v>1163</v>
      </c>
      <c r="C303" s="2" t="s">
        <v>150</v>
      </c>
      <c r="D303" s="2" t="s">
        <v>151</v>
      </c>
      <c r="E303" s="17" t="n">
        <v>1</v>
      </c>
      <c r="F303" s="7" t="s">
        <f>=DATEDIF(A303,$N$2,"y")</f>
      </c>
      <c r="G303" s="7" t="s">
        <f>=DATEDIF(A303,$N$2,"ym")</f>
      </c>
      <c r="H303" s="7" t="s">
        <f>=DATEDIF(A303,$N$2,"md")</f>
      </c>
      <c r="I303" s="7" t="n">
        <v>787</v>
      </c>
      <c r="J303" s="17" t="n">
        <v>1027.73</v>
      </c>
      <c r="K303" s="6" t="s">
        <f>=Портфель!F51*Портфель!G51/100*Портфель!$Q$13</f>
      </c>
      <c r="L303" s="6" t="s">
        <f>=(K303-J303)*E303</f>
      </c>
      <c r="M303" s="6" t="s">
        <f>=MAX(0,L303*0.13)</f>
      </c>
    </row>
    <row collapsed="false" customFormat="false" customHeight="false" hidden="false" ht="12.1" outlineLevel="0" r="304">
      <c r="A304" s="36" t="n">
        <v>45114</v>
      </c>
      <c r="B304" s="2" t="s">
        <v>1163</v>
      </c>
      <c r="C304" s="2" t="s">
        <v>150</v>
      </c>
      <c r="D304" s="2" t="s">
        <v>151</v>
      </c>
      <c r="E304" s="17" t="n">
        <v>2</v>
      </c>
      <c r="F304" s="7" t="s">
        <f>=DATEDIF(A304,$N$2,"y")</f>
      </c>
      <c r="G304" s="7" t="s">
        <f>=DATEDIF(A304,$N$2,"ym")</f>
      </c>
      <c r="H304" s="7" t="s">
        <f>=DATEDIF(A304,$N$2,"md")</f>
      </c>
      <c r="I304" s="7" t="n">
        <v>699</v>
      </c>
      <c r="J304" s="17" t="n">
        <v>994.355</v>
      </c>
      <c r="K304" s="6" t="s">
        <f>=Портфель!F51*Портфель!G51/100*Портфель!$Q$13</f>
      </c>
      <c r="L304" s="6" t="s">
        <f>=(K304-J304)*E304</f>
      </c>
      <c r="M304" s="6" t="s">
        <f>=MAX(0,L304*0.13)</f>
      </c>
    </row>
    <row collapsed="false" customFormat="false" customHeight="false" hidden="false" ht="12.1" outlineLevel="0" r="305">
      <c r="A305" s="36" t="n">
        <v>45146</v>
      </c>
      <c r="B305" s="2" t="s">
        <v>1163</v>
      </c>
      <c r="C305" s="2" t="s">
        <v>150</v>
      </c>
      <c r="D305" s="2" t="s">
        <v>151</v>
      </c>
      <c r="E305" s="17" t="n">
        <v>1</v>
      </c>
      <c r="F305" s="7" t="s">
        <f>=DATEDIF(A305,$N$2,"y")</f>
      </c>
      <c r="G305" s="7" t="s">
        <f>=DATEDIF(A305,$N$2,"ym")</f>
      </c>
      <c r="H305" s="7" t="s">
        <f>=DATEDIF(A305,$N$2,"md")</f>
      </c>
      <c r="I305" s="7" t="n">
        <v>667</v>
      </c>
      <c r="J305" s="17" t="n">
        <v>994.76</v>
      </c>
      <c r="K305" s="6" t="s">
        <f>=Портфель!F51*Портфель!G51/100*Портфель!$Q$13</f>
      </c>
      <c r="L305" s="6" t="s">
        <f>=(K305-J305)*E305</f>
      </c>
      <c r="M305" s="6" t="s">
        <f>=MAX(0,L305*0.13)</f>
      </c>
    </row>
    <row collapsed="false" customFormat="false" customHeight="false" hidden="false" ht="12.1" outlineLevel="0" r="306">
      <c r="A306" s="36" t="n">
        <v>45267</v>
      </c>
      <c r="B306" s="2" t="s">
        <v>1163</v>
      </c>
      <c r="C306" s="2" t="s">
        <v>150</v>
      </c>
      <c r="D306" s="2" t="s">
        <v>151</v>
      </c>
      <c r="E306" s="17" t="n">
        <v>1</v>
      </c>
      <c r="F306" s="7" t="s">
        <f>=DATEDIF(A306,$N$2,"y")</f>
      </c>
      <c r="G306" s="7" t="s">
        <f>=DATEDIF(A306,$N$2,"ym")</f>
      </c>
      <c r="H306" s="7" t="s">
        <f>=DATEDIF(A306,$N$2,"md")</f>
      </c>
      <c r="I306" s="7" t="n">
        <v>546</v>
      </c>
      <c r="J306" s="17" t="n">
        <v>926.38</v>
      </c>
      <c r="K306" s="6" t="s">
        <f>=Портфель!F51*Портфель!G51/100*Портфель!$Q$13</f>
      </c>
      <c r="L306" s="6" t="s">
        <f>=(K306-J306)*E306</f>
      </c>
      <c r="M306" s="6" t="s">
        <f>=MAX(0,L306*0.13)</f>
      </c>
    </row>
    <row collapsed="false" customFormat="false" customHeight="false" hidden="false" ht="12.1" outlineLevel="0" r="307">
      <c r="A307" s="36" t="n">
        <v>45009</v>
      </c>
      <c r="B307" s="2" t="s">
        <v>1163</v>
      </c>
      <c r="C307" s="2" t="s">
        <v>153</v>
      </c>
      <c r="D307" s="2" t="s">
        <v>154</v>
      </c>
      <c r="E307" s="17" t="n">
        <v>1</v>
      </c>
      <c r="F307" s="7" t="s">
        <f>=DATEDIF(A307,$N$2,"y")</f>
      </c>
      <c r="G307" s="7" t="s">
        <f>=DATEDIF(A307,$N$2,"ym")</f>
      </c>
      <c r="H307" s="7" t="s">
        <f>=DATEDIF(A307,$N$2,"md")</f>
      </c>
      <c r="I307" s="7" t="n">
        <v>804</v>
      </c>
      <c r="J307" s="17" t="n">
        <v>1151.69</v>
      </c>
      <c r="K307" s="6" t="s">
        <f>=Портфель!F52*Портфель!G52/100*Портфель!$Q$13</f>
      </c>
      <c r="L307" s="6" t="s">
        <f>=(K307-J307)*E307</f>
      </c>
      <c r="M307" s="6" t="s">
        <f>=MAX(0,L307*0.13)</f>
      </c>
    </row>
    <row collapsed="false" customFormat="false" customHeight="false" hidden="false" ht="12.1" outlineLevel="0" r="308">
      <c r="A308" s="36" t="n">
        <v>45026</v>
      </c>
      <c r="B308" s="2" t="s">
        <v>1163</v>
      </c>
      <c r="C308" s="2" t="s">
        <v>153</v>
      </c>
      <c r="D308" s="2" t="s">
        <v>154</v>
      </c>
      <c r="E308" s="17" t="n">
        <v>1</v>
      </c>
      <c r="F308" s="7" t="s">
        <f>=DATEDIF(A308,$N$2,"y")</f>
      </c>
      <c r="G308" s="7" t="s">
        <f>=DATEDIF(A308,$N$2,"ym")</f>
      </c>
      <c r="H308" s="7" t="s">
        <f>=DATEDIF(A308,$N$2,"md")</f>
      </c>
      <c r="I308" s="7" t="n">
        <v>787</v>
      </c>
      <c r="J308" s="17" t="n">
        <v>1141.72</v>
      </c>
      <c r="K308" s="6" t="s">
        <f>=Портфель!F52*Портфель!G52/100*Портфель!$Q$13</f>
      </c>
      <c r="L308" s="6" t="s">
        <f>=(K308-J308)*E308</f>
      </c>
      <c r="M308" s="6" t="s">
        <f>=MAX(0,L308*0.13)</f>
      </c>
    </row>
    <row collapsed="false" customFormat="false" customHeight="false" hidden="false" ht="12.1" outlineLevel="0" r="309">
      <c r="A309" s="36" t="n">
        <v>45030</v>
      </c>
      <c r="B309" s="2" t="s">
        <v>1163</v>
      </c>
      <c r="C309" s="2" t="s">
        <v>153</v>
      </c>
      <c r="D309" s="2" t="s">
        <v>154</v>
      </c>
      <c r="E309" s="17" t="n">
        <v>1</v>
      </c>
      <c r="F309" s="7" t="s">
        <f>=DATEDIF(A309,$N$2,"y")</f>
      </c>
      <c r="G309" s="7" t="s">
        <f>=DATEDIF(A309,$N$2,"ym")</f>
      </c>
      <c r="H309" s="7" t="s">
        <f>=DATEDIF(A309,$N$2,"md")</f>
      </c>
      <c r="I309" s="7" t="n">
        <v>783</v>
      </c>
      <c r="J309" s="17" t="n">
        <v>1142.12</v>
      </c>
      <c r="K309" s="6" t="s">
        <f>=Портфель!F52*Портфель!G52/100*Портфель!$Q$13</f>
      </c>
      <c r="L309" s="6" t="s">
        <f>=(K309-J309)*E309</f>
      </c>
      <c r="M309" s="6" t="s">
        <f>=MAX(0,L309*0.13)</f>
      </c>
    </row>
    <row collapsed="false" customFormat="false" customHeight="false" hidden="false" ht="12.1" outlineLevel="0" r="310">
      <c r="A310" s="36" t="n">
        <v>45114</v>
      </c>
      <c r="B310" s="2" t="s">
        <v>1163</v>
      </c>
      <c r="C310" s="2" t="s">
        <v>153</v>
      </c>
      <c r="D310" s="2" t="s">
        <v>154</v>
      </c>
      <c r="E310" s="17" t="n">
        <v>1</v>
      </c>
      <c r="F310" s="7" t="s">
        <f>=DATEDIF(A310,$N$2,"y")</f>
      </c>
      <c r="G310" s="7" t="s">
        <f>=DATEDIF(A310,$N$2,"ym")</f>
      </c>
      <c r="H310" s="7" t="s">
        <f>=DATEDIF(A310,$N$2,"md")</f>
      </c>
      <c r="I310" s="7" t="n">
        <v>699</v>
      </c>
      <c r="J310" s="17" t="n">
        <v>1163.89</v>
      </c>
      <c r="K310" s="6" t="s">
        <f>=Портфель!F52*Портфель!G52/100*Портфель!$Q$13</f>
      </c>
      <c r="L310" s="6" t="s">
        <f>=(K310-J310)*E310</f>
      </c>
      <c r="M310" s="6" t="s">
        <f>=MAX(0,L310*0.13)</f>
      </c>
    </row>
    <row collapsed="false" customFormat="false" customHeight="false" hidden="false" ht="12.1" outlineLevel="0" r="311">
      <c r="A311" s="36" t="n">
        <v>45702</v>
      </c>
      <c r="B311" s="2" t="s">
        <v>1163</v>
      </c>
      <c r="C311" s="2" t="s">
        <v>156</v>
      </c>
      <c r="D311" s="2" t="s">
        <v>157</v>
      </c>
      <c r="E311" s="17" t="n">
        <v>1</v>
      </c>
      <c r="F311" s="7" t="s">
        <f>=DATEDIF(A311,$N$2,"y")</f>
      </c>
      <c r="G311" s="7" t="s">
        <f>=DATEDIF(A311,$N$2,"ym")</f>
      </c>
      <c r="H311" s="7" t="s">
        <f>=DATEDIF(A311,$N$2,"md")</f>
      </c>
      <c r="I311" s="7" t="n">
        <v>111</v>
      </c>
      <c r="J311" s="17" t="n">
        <v>887.6</v>
      </c>
      <c r="K311" s="6" t="s">
        <f>=Портфель!F53*Портфель!G53/100*Портфель!$Q$13</f>
      </c>
      <c r="L311" s="6" t="s">
        <f>=(K311-J311)*E311</f>
      </c>
      <c r="M311" s="6" t="s">
        <f>=MAX(0,L311*0.13)</f>
      </c>
    </row>
    <row collapsed="false" customFormat="false" customHeight="false" hidden="false" ht="12.1" outlineLevel="0" r="312">
      <c r="A312" s="36" t="n">
        <v>45714</v>
      </c>
      <c r="B312" s="2" t="s">
        <v>1163</v>
      </c>
      <c r="C312" s="2" t="s">
        <v>156</v>
      </c>
      <c r="D312" s="2" t="s">
        <v>157</v>
      </c>
      <c r="E312" s="17" t="n">
        <v>1</v>
      </c>
      <c r="F312" s="7" t="s">
        <f>=DATEDIF(A312,$N$2,"y")</f>
      </c>
      <c r="G312" s="7" t="s">
        <f>=DATEDIF(A312,$N$2,"ym")</f>
      </c>
      <c r="H312" s="7" t="s">
        <f>=DATEDIF(A312,$N$2,"md")</f>
      </c>
      <c r="I312" s="7" t="n">
        <v>99</v>
      </c>
      <c r="J312" s="17" t="n">
        <v>855.98</v>
      </c>
      <c r="K312" s="6" t="s">
        <f>=Портфель!F53*Портфель!G53/100*Портфель!$Q$13</f>
      </c>
      <c r="L312" s="6" t="s">
        <f>=(K312-J312)*E312</f>
      </c>
      <c r="M312" s="6" t="s">
        <f>=MAX(0,L312*0.13)</f>
      </c>
    </row>
    <row collapsed="false" customFormat="false" customHeight="false" hidden="false" ht="12.1" outlineLevel="0" r="313">
      <c r="A313" s="36" t="n">
        <v>45714</v>
      </c>
      <c r="B313" s="2" t="s">
        <v>1163</v>
      </c>
      <c r="C313" s="2" t="s">
        <v>156</v>
      </c>
      <c r="D313" s="2" t="s">
        <v>157</v>
      </c>
      <c r="E313" s="17" t="n">
        <v>1</v>
      </c>
      <c r="F313" s="7" t="s">
        <f>=DATEDIF(A313,$N$2,"y")</f>
      </c>
      <c r="G313" s="7" t="s">
        <f>=DATEDIF(A313,$N$2,"ym")</f>
      </c>
      <c r="H313" s="7" t="s">
        <f>=DATEDIF(A313,$N$2,"md")</f>
      </c>
      <c r="I313" s="7" t="n">
        <v>99</v>
      </c>
      <c r="J313" s="17" t="n">
        <v>855.98</v>
      </c>
      <c r="K313" s="6" t="s">
        <f>=Портфель!F53*Портфель!G53/100*Портфель!$Q$13</f>
      </c>
      <c r="L313" s="6" t="s">
        <f>=(K313-J313)*E313</f>
      </c>
      <c r="M313" s="6" t="s">
        <f>=MAX(0,L313*0.13)</f>
      </c>
    </row>
    <row collapsed="false" customFormat="false" customHeight="false" hidden="false" ht="12.1" outlineLevel="0" r="314">
      <c r="A314" s="36" t="n">
        <v>45776</v>
      </c>
      <c r="B314" s="2" t="s">
        <v>1163</v>
      </c>
      <c r="C314" s="2" t="s">
        <v>156</v>
      </c>
      <c r="D314" s="2" t="s">
        <v>157</v>
      </c>
      <c r="E314" s="17" t="n">
        <v>1</v>
      </c>
      <c r="F314" s="7" t="s">
        <f>=DATEDIF(A314,$N$2,"y")</f>
      </c>
      <c r="G314" s="7" t="s">
        <f>=DATEDIF(A314,$N$2,"ym")</f>
      </c>
      <c r="H314" s="7" t="s">
        <f>=DATEDIF(A314,$N$2,"md")</f>
      </c>
      <c r="I314" s="7" t="n">
        <v>37</v>
      </c>
      <c r="J314" s="17" t="n">
        <v>834.81</v>
      </c>
      <c r="K314" s="6" t="s">
        <f>=Портфель!F53*Портфель!G53/100*Портфель!$Q$13</f>
      </c>
      <c r="L314" s="6" t="s">
        <f>=(K314-J314)*E314</f>
      </c>
      <c r="M314" s="6" t="s">
        <f>=MAX(0,L314*0.13)</f>
      </c>
    </row>
    <row collapsed="false" customFormat="false" customHeight="false" hidden="false" ht="12.1" outlineLevel="0" r="315">
      <c r="A315" s="36" t="n">
        <v>45356</v>
      </c>
      <c r="B315" s="2" t="s">
        <v>1163</v>
      </c>
      <c r="C315" s="2" t="s">
        <v>159</v>
      </c>
      <c r="D315" s="2" t="s">
        <v>160</v>
      </c>
      <c r="E315" s="17" t="n">
        <v>1</v>
      </c>
      <c r="F315" s="7" t="s">
        <f>=DATEDIF(A315,$N$2,"y")</f>
      </c>
      <c r="G315" s="7" t="s">
        <f>=DATEDIF(A315,$N$2,"ym")</f>
      </c>
      <c r="H315" s="7" t="s">
        <f>=DATEDIF(A315,$N$2,"md")</f>
      </c>
      <c r="I315" s="7" t="n">
        <v>457</v>
      </c>
      <c r="J315" s="17" t="n">
        <v>878.2</v>
      </c>
      <c r="K315" s="6" t="s">
        <f>=Портфель!F54*Портфель!G54/100*Портфель!$Q$13</f>
      </c>
      <c r="L315" s="6" t="s">
        <f>=(K315-J315)*E315</f>
      </c>
      <c r="M315" s="6" t="s">
        <f>=MAX(0,L315*0.13)</f>
      </c>
    </row>
    <row collapsed="false" customFormat="false" customHeight="false" hidden="false" ht="12.1" outlineLevel="0" r="316">
      <c r="A316" s="36" t="n">
        <v>45447</v>
      </c>
      <c r="B316" s="2" t="s">
        <v>1163</v>
      </c>
      <c r="C316" s="2" t="s">
        <v>159</v>
      </c>
      <c r="D316" s="2" t="s">
        <v>160</v>
      </c>
      <c r="E316" s="17" t="n">
        <v>1</v>
      </c>
      <c r="F316" s="7" t="s">
        <f>=DATEDIF(A316,$N$2,"y")</f>
      </c>
      <c r="G316" s="7" t="s">
        <f>=DATEDIF(A316,$N$2,"ym")</f>
      </c>
      <c r="H316" s="7" t="s">
        <f>=DATEDIF(A316,$N$2,"md")</f>
      </c>
      <c r="I316" s="7" t="n">
        <v>366</v>
      </c>
      <c r="J316" s="17" t="n">
        <v>822.25</v>
      </c>
      <c r="K316" s="6" t="s">
        <f>=Портфель!F54*Портфель!G54/100*Портфель!$Q$13</f>
      </c>
      <c r="L316" s="6" t="s">
        <f>=(K316-J316)*E316</f>
      </c>
      <c r="M316" s="6" t="s">
        <f>=MAX(0,L316*0.13)</f>
      </c>
    </row>
    <row collapsed="false" customFormat="false" customHeight="false" hidden="false" ht="12.1" outlineLevel="0" r="317">
      <c r="A317" s="36" t="n">
        <v>45447</v>
      </c>
      <c r="B317" s="2" t="s">
        <v>1163</v>
      </c>
      <c r="C317" s="2" t="s">
        <v>159</v>
      </c>
      <c r="D317" s="2" t="s">
        <v>160</v>
      </c>
      <c r="E317" s="17" t="n">
        <v>1</v>
      </c>
      <c r="F317" s="7" t="s">
        <f>=DATEDIF(A317,$N$2,"y")</f>
      </c>
      <c r="G317" s="7" t="s">
        <f>=DATEDIF(A317,$N$2,"ym")</f>
      </c>
      <c r="H317" s="7" t="s">
        <f>=DATEDIF(A317,$N$2,"md")</f>
      </c>
      <c r="I317" s="7" t="n">
        <v>366</v>
      </c>
      <c r="J317" s="17" t="n">
        <v>819.83</v>
      </c>
      <c r="K317" s="6" t="s">
        <f>=Портфель!F54*Портфель!G54/100*Портфель!$Q$13</f>
      </c>
      <c r="L317" s="6" t="s">
        <f>=(K317-J317)*E317</f>
      </c>
      <c r="M317" s="6" t="s">
        <f>=MAX(0,L317*0.13)</f>
      </c>
    </row>
    <row collapsed="false" customFormat="false" customHeight="false" hidden="false" ht="12.1" outlineLevel="0" r="318">
      <c r="A318" s="36" t="n">
        <v>45506</v>
      </c>
      <c r="B318" s="2" t="s">
        <v>1163</v>
      </c>
      <c r="C318" s="2" t="s">
        <v>159</v>
      </c>
      <c r="D318" s="2" t="s">
        <v>160</v>
      </c>
      <c r="E318" s="17" t="n">
        <v>1</v>
      </c>
      <c r="F318" s="7" t="s">
        <f>=DATEDIF(A318,$N$2,"y")</f>
      </c>
      <c r="G318" s="7" t="s">
        <f>=DATEDIF(A318,$N$2,"ym")</f>
      </c>
      <c r="H318" s="7" t="s">
        <f>=DATEDIF(A318,$N$2,"md")</f>
      </c>
      <c r="I318" s="7" t="n">
        <v>307</v>
      </c>
      <c r="J318" s="17" t="n">
        <v>815.29</v>
      </c>
      <c r="K318" s="6" t="s">
        <f>=Портфель!F54*Портфель!G54/100*Портфель!$Q$13</f>
      </c>
      <c r="L318" s="6" t="s">
        <f>=(K318-J318)*E318</f>
      </c>
      <c r="M318" s="6" t="s">
        <f>=MAX(0,L318*0.13)</f>
      </c>
    </row>
    <row collapsed="false" customFormat="false" customHeight="false" hidden="false" ht="12.1" outlineLevel="0" r="319">
      <c r="A319" s="36" t="n">
        <v>45447</v>
      </c>
      <c r="B319" s="2" t="s">
        <v>1163</v>
      </c>
      <c r="C319" s="2" t="s">
        <v>162</v>
      </c>
      <c r="D319" s="2" t="s">
        <v>163</v>
      </c>
      <c r="E319" s="17" t="n">
        <v>1</v>
      </c>
      <c r="F319" s="7" t="s">
        <f>=DATEDIF(A319,$N$2,"y")</f>
      </c>
      <c r="G319" s="7" t="s">
        <f>=DATEDIF(A319,$N$2,"ym")</f>
      </c>
      <c r="H319" s="7" t="s">
        <f>=DATEDIF(A319,$N$2,"md")</f>
      </c>
      <c r="I319" s="7" t="n">
        <v>366</v>
      </c>
      <c r="J319" s="17" t="n">
        <v>692.44</v>
      </c>
      <c r="K319" s="6" t="s">
        <f>=Портфель!F55*Портфель!G55/100*Портфель!$Q$13</f>
      </c>
      <c r="L319" s="6" t="s">
        <f>=(K319-J319)*E319</f>
      </c>
      <c r="M319" s="6" t="s">
        <f>=MAX(0,L319*0.13)</f>
      </c>
    </row>
    <row collapsed="false" customFormat="false" customHeight="false" hidden="false" ht="12.1" outlineLevel="0" r="320">
      <c r="A320" s="36" t="n">
        <v>45506</v>
      </c>
      <c r="B320" s="2" t="s">
        <v>1163</v>
      </c>
      <c r="C320" s="2" t="s">
        <v>162</v>
      </c>
      <c r="D320" s="2" t="s">
        <v>163</v>
      </c>
      <c r="E320" s="17" t="n">
        <v>1</v>
      </c>
      <c r="F320" s="7" t="s">
        <f>=DATEDIF(A320,$N$2,"y")</f>
      </c>
      <c r="G320" s="7" t="s">
        <f>=DATEDIF(A320,$N$2,"ym")</f>
      </c>
      <c r="H320" s="7" t="s">
        <f>=DATEDIF(A320,$N$2,"md")</f>
      </c>
      <c r="I320" s="7" t="n">
        <v>307</v>
      </c>
      <c r="J320" s="17" t="n">
        <v>646.87</v>
      </c>
      <c r="K320" s="6" t="s">
        <f>=Портфель!F55*Портфель!G55/100*Портфель!$Q$13</f>
      </c>
      <c r="L320" s="6" t="s">
        <f>=(K320-J320)*E320</f>
      </c>
      <c r="M320" s="6" t="s">
        <f>=MAX(0,L320*0.13)</f>
      </c>
    </row>
    <row collapsed="false" customFormat="false" customHeight="false" hidden="false" ht="12.1" outlineLevel="0" r="321">
      <c r="A321" s="36" t="n">
        <v>45566</v>
      </c>
      <c r="B321" s="2" t="s">
        <v>1163</v>
      </c>
      <c r="C321" s="2" t="s">
        <v>162</v>
      </c>
      <c r="D321" s="2" t="s">
        <v>163</v>
      </c>
      <c r="E321" s="17" t="n">
        <v>1</v>
      </c>
      <c r="F321" s="7" t="s">
        <f>=DATEDIF(A321,$N$2,"y")</f>
      </c>
      <c r="G321" s="7" t="s">
        <f>=DATEDIF(A321,$N$2,"ym")</f>
      </c>
      <c r="H321" s="7" t="s">
        <f>=DATEDIF(A321,$N$2,"md")</f>
      </c>
      <c r="I321" s="7" t="n">
        <v>247</v>
      </c>
      <c r="J321" s="17" t="n">
        <v>633.72</v>
      </c>
      <c r="K321" s="6" t="s">
        <f>=Портфель!F55*Портфель!G55/100*Портфель!$Q$13</f>
      </c>
      <c r="L321" s="6" t="s">
        <f>=(K321-J321)*E321</f>
      </c>
      <c r="M321" s="6" t="s">
        <f>=MAX(0,L321*0.13)</f>
      </c>
    </row>
    <row collapsed="false" customFormat="false" customHeight="false" hidden="false" ht="12.1" outlineLevel="0" r="322">
      <c r="A322" s="36" t="n">
        <v>45566</v>
      </c>
      <c r="B322" s="2" t="s">
        <v>1163</v>
      </c>
      <c r="C322" s="2" t="s">
        <v>162</v>
      </c>
      <c r="D322" s="2" t="s">
        <v>163</v>
      </c>
      <c r="E322" s="17" t="n">
        <v>1</v>
      </c>
      <c r="F322" s="7" t="s">
        <f>=DATEDIF(A322,$N$2,"y")</f>
      </c>
      <c r="G322" s="7" t="s">
        <f>=DATEDIF(A322,$N$2,"ym")</f>
      </c>
      <c r="H322" s="7" t="s">
        <f>=DATEDIF(A322,$N$2,"md")</f>
      </c>
      <c r="I322" s="7" t="n">
        <v>247</v>
      </c>
      <c r="J322" s="17" t="n">
        <v>633.73</v>
      </c>
      <c r="K322" s="6" t="s">
        <f>=Портфель!F55*Портфель!G55/100*Портфель!$Q$13</f>
      </c>
      <c r="L322" s="6" t="s">
        <f>=(K322-J322)*E322</f>
      </c>
      <c r="M322" s="6" t="s">
        <f>=MAX(0,L322*0.13)</f>
      </c>
    </row>
    <row collapsed="false" customFormat="false" customHeight="false" hidden="false" ht="12.1" outlineLevel="0" r="323">
      <c r="A323" s="36" t="n">
        <v>45670</v>
      </c>
      <c r="B323" s="2" t="s">
        <v>1163</v>
      </c>
      <c r="C323" s="2" t="s">
        <v>165</v>
      </c>
      <c r="D323" s="2" t="s">
        <v>166</v>
      </c>
      <c r="E323" s="17" t="n">
        <v>1</v>
      </c>
      <c r="F323" s="7" t="s">
        <f>=DATEDIF(A323,$N$2,"y")</f>
      </c>
      <c r="G323" s="7" t="s">
        <f>=DATEDIF(A323,$N$2,"ym")</f>
      </c>
      <c r="H323" s="7" t="s">
        <f>=DATEDIF(A323,$N$2,"md")</f>
      </c>
      <c r="I323" s="7" t="n">
        <v>143</v>
      </c>
      <c r="J323" s="17" t="n">
        <v>829.97</v>
      </c>
      <c r="K323" s="6" t="s">
        <f>=Портфель!F56*Портфель!G56/100*Портфель!$Q$13</f>
      </c>
      <c r="L323" s="6" t="s">
        <f>=(K323-J323)*E323</f>
      </c>
      <c r="M323" s="6" t="s">
        <f>=MAX(0,L323*0.13)</f>
      </c>
    </row>
    <row collapsed="false" customFormat="false" customHeight="false" hidden="false" ht="12.1" outlineLevel="0" r="324">
      <c r="A324" s="36" t="n">
        <v>45670</v>
      </c>
      <c r="B324" s="2" t="s">
        <v>1163</v>
      </c>
      <c r="C324" s="2" t="s">
        <v>165</v>
      </c>
      <c r="D324" s="2" t="s">
        <v>166</v>
      </c>
      <c r="E324" s="17" t="n">
        <v>1</v>
      </c>
      <c r="F324" s="7" t="s">
        <f>=DATEDIF(A324,$N$2,"y")</f>
      </c>
      <c r="G324" s="7" t="s">
        <f>=DATEDIF(A324,$N$2,"ym")</f>
      </c>
      <c r="H324" s="7" t="s">
        <f>=DATEDIF(A324,$N$2,"md")</f>
      </c>
      <c r="I324" s="7" t="n">
        <v>143</v>
      </c>
      <c r="J324" s="17" t="n">
        <v>830.27</v>
      </c>
      <c r="K324" s="6" t="s">
        <f>=Портфель!F56*Портфель!G56/100*Портфель!$Q$13</f>
      </c>
      <c r="L324" s="6" t="s">
        <f>=(K324-J324)*E324</f>
      </c>
      <c r="M324" s="6" t="s">
        <f>=MAX(0,L324*0.13)</f>
      </c>
    </row>
    <row collapsed="false" customFormat="false" customHeight="false" hidden="false" ht="12.1" outlineLevel="0" r="325">
      <c r="A325" s="36" t="n">
        <v>45670</v>
      </c>
      <c r="B325" s="2" t="s">
        <v>1163</v>
      </c>
      <c r="C325" s="2" t="s">
        <v>165</v>
      </c>
      <c r="D325" s="2" t="s">
        <v>166</v>
      </c>
      <c r="E325" s="17" t="n">
        <v>1</v>
      </c>
      <c r="F325" s="7" t="s">
        <f>=DATEDIF(A325,$N$2,"y")</f>
      </c>
      <c r="G325" s="7" t="s">
        <f>=DATEDIF(A325,$N$2,"ym")</f>
      </c>
      <c r="H325" s="7" t="s">
        <f>=DATEDIF(A325,$N$2,"md")</f>
      </c>
      <c r="I325" s="7" t="n">
        <v>143</v>
      </c>
      <c r="J325" s="17" t="n">
        <v>829.97</v>
      </c>
      <c r="K325" s="6" t="s">
        <f>=Портфель!F56*Портфель!G56/100*Портфель!$Q$13</f>
      </c>
      <c r="L325" s="6" t="s">
        <f>=(K325-J325)*E325</f>
      </c>
      <c r="M325" s="6" t="s">
        <f>=MAX(0,L325*0.13)</f>
      </c>
    </row>
    <row collapsed="false" customFormat="false" customHeight="false" hidden="false" ht="12.1" outlineLevel="0" r="326">
      <c r="A326" s="36" t="n">
        <v>45541</v>
      </c>
      <c r="B326" s="2" t="s">
        <v>1163</v>
      </c>
      <c r="C326" s="2" t="s">
        <v>168</v>
      </c>
      <c r="D326" s="2" t="s">
        <v>169</v>
      </c>
      <c r="E326" s="17" t="n">
        <v>1</v>
      </c>
      <c r="F326" s="7" t="s">
        <f>=DATEDIF(A326,$N$2,"y")</f>
      </c>
      <c r="G326" s="7" t="s">
        <f>=DATEDIF(A326,$N$2,"ym")</f>
      </c>
      <c r="H326" s="7" t="s">
        <f>=DATEDIF(A326,$N$2,"md")</f>
      </c>
      <c r="I326" s="7" t="n">
        <v>272</v>
      </c>
      <c r="J326" s="17" t="n">
        <v>841.44</v>
      </c>
      <c r="K326" s="6" t="s">
        <f>=Портфель!F57*Портфель!G57/100*Портфель!$Q$13</f>
      </c>
      <c r="L326" s="6" t="s">
        <f>=(K326-J326)*E326</f>
      </c>
      <c r="M326" s="6" t="s">
        <f>=MAX(0,L326*0.13)</f>
      </c>
    </row>
    <row collapsed="false" customFormat="false" customHeight="false" hidden="false" ht="12.1" outlineLevel="0" r="327">
      <c r="A327" s="36" t="n">
        <v>45670</v>
      </c>
      <c r="B327" s="2" t="s">
        <v>1163</v>
      </c>
      <c r="C327" s="2" t="s">
        <v>168</v>
      </c>
      <c r="D327" s="2" t="s">
        <v>169</v>
      </c>
      <c r="E327" s="17" t="n">
        <v>1</v>
      </c>
      <c r="F327" s="7" t="s">
        <f>=DATEDIF(A327,$N$2,"y")</f>
      </c>
      <c r="G327" s="7" t="s">
        <f>=DATEDIF(A327,$N$2,"ym")</f>
      </c>
      <c r="H327" s="7" t="s">
        <f>=DATEDIF(A327,$N$2,"md")</f>
      </c>
      <c r="I327" s="7" t="n">
        <v>143</v>
      </c>
      <c r="J327" s="17" t="n">
        <v>885.54</v>
      </c>
      <c r="K327" s="6" t="s">
        <f>=Портфель!F57*Портфель!G57/100*Портфель!$Q$13</f>
      </c>
      <c r="L327" s="6" t="s">
        <f>=(K327-J327)*E327</f>
      </c>
      <c r="M327" s="6" t="s">
        <f>=MAX(0,L327*0.13)</f>
      </c>
    </row>
    <row collapsed="false" customFormat="false" customHeight="false" hidden="false" ht="12.1" outlineLevel="0" r="328">
      <c r="A328" s="36" t="n">
        <v>45670</v>
      </c>
      <c r="B328" s="2" t="s">
        <v>1163</v>
      </c>
      <c r="C328" s="2" t="s">
        <v>168</v>
      </c>
      <c r="D328" s="2" t="s">
        <v>169</v>
      </c>
      <c r="E328" s="17" t="n">
        <v>1</v>
      </c>
      <c r="F328" s="7" t="s">
        <f>=DATEDIF(A328,$N$2,"y")</f>
      </c>
      <c r="G328" s="7" t="s">
        <f>=DATEDIF(A328,$N$2,"ym")</f>
      </c>
      <c r="H328" s="7" t="s">
        <f>=DATEDIF(A328,$N$2,"md")</f>
      </c>
      <c r="I328" s="7" t="n">
        <v>143</v>
      </c>
      <c r="J328" s="17" t="n">
        <v>885.54</v>
      </c>
      <c r="K328" s="6" t="s">
        <f>=Портфель!F57*Портфель!G57/100*Портфель!$Q$13</f>
      </c>
      <c r="L328" s="6" t="s">
        <f>=(K328-J328)*E328</f>
      </c>
      <c r="M328" s="6" t="s">
        <f>=MAX(0,L328*0.13)</f>
      </c>
    </row>
    <row collapsed="false" customFormat="false" customHeight="false" hidden="false" ht="12.1" outlineLevel="0" r="329">
      <c r="A329" s="36" t="n">
        <v>45471</v>
      </c>
      <c r="B329" s="2" t="s">
        <v>1163</v>
      </c>
      <c r="C329" s="2" t="s">
        <v>171</v>
      </c>
      <c r="D329" s="2" t="s">
        <v>172</v>
      </c>
      <c r="E329" s="17" t="n">
        <v>2</v>
      </c>
      <c r="F329" s="7" t="s">
        <f>=DATEDIF(A329,$N$2,"y")</f>
      </c>
      <c r="G329" s="7" t="s">
        <f>=DATEDIF(A329,$N$2,"ym")</f>
      </c>
      <c r="H329" s="7" t="s">
        <f>=DATEDIF(A329,$N$2,"md")</f>
      </c>
      <c r="I329" s="7" t="n">
        <v>342</v>
      </c>
      <c r="J329" s="17" t="n">
        <v>1274.095</v>
      </c>
      <c r="K329" s="6" t="s">
        <f>=Портфель!F58*Портфель!G58/100*Портфель!$Q$13</f>
      </c>
      <c r="L329" s="6" t="s">
        <f>=(K329-J329)*E329</f>
      </c>
      <c r="M329" s="6" t="s">
        <f>=MAX(0,L329*0.13)</f>
      </c>
    </row>
    <row collapsed="false" customFormat="false" customHeight="false" hidden="false" ht="12.1" outlineLevel="0" r="330">
      <c r="A330" s="36" t="n">
        <v>45541</v>
      </c>
      <c r="B330" s="2" t="s">
        <v>1163</v>
      </c>
      <c r="C330" s="2" t="s">
        <v>174</v>
      </c>
      <c r="D330" s="2" t="s">
        <v>175</v>
      </c>
      <c r="E330" s="17" t="n">
        <v>1</v>
      </c>
      <c r="F330" s="7" t="s">
        <f>=DATEDIF(A330,$N$2,"y")</f>
      </c>
      <c r="G330" s="7" t="s">
        <f>=DATEDIF(A330,$N$2,"ym")</f>
      </c>
      <c r="H330" s="7" t="s">
        <f>=DATEDIF(A330,$N$2,"md")</f>
      </c>
      <c r="I330" s="7" t="n">
        <v>272</v>
      </c>
      <c r="J330" s="17" t="n">
        <v>806.56</v>
      </c>
      <c r="K330" s="6" t="s">
        <f>=Портфель!F59*Портфель!G59/100*Портфель!$Q$13</f>
      </c>
      <c r="L330" s="6" t="s">
        <f>=(K330-J330)*E330</f>
      </c>
      <c r="M330" s="6" t="s">
        <f>=MAX(0,L330*0.13)</f>
      </c>
    </row>
    <row collapsed="false" customFormat="false" customHeight="false" hidden="false" ht="12.1" outlineLevel="0" r="331">
      <c r="A331" s="36" t="n">
        <v>45670</v>
      </c>
      <c r="B331" s="2" t="s">
        <v>1163</v>
      </c>
      <c r="C331" s="2" t="s">
        <v>174</v>
      </c>
      <c r="D331" s="2" t="s">
        <v>175</v>
      </c>
      <c r="E331" s="17" t="n">
        <v>1</v>
      </c>
      <c r="F331" s="7" t="s">
        <f>=DATEDIF(A331,$N$2,"y")</f>
      </c>
      <c r="G331" s="7" t="s">
        <f>=DATEDIF(A331,$N$2,"ym")</f>
      </c>
      <c r="H331" s="7" t="s">
        <f>=DATEDIF(A331,$N$2,"md")</f>
      </c>
      <c r="I331" s="7" t="n">
        <v>143</v>
      </c>
      <c r="J331" s="17" t="n">
        <v>809</v>
      </c>
      <c r="K331" s="6" t="s">
        <f>=Портфель!F59*Портфель!G59/100*Портфель!$Q$13</f>
      </c>
      <c r="L331" s="6" t="s">
        <f>=(K331-J331)*E331</f>
      </c>
      <c r="M331" s="6" t="s">
        <f>=MAX(0,L331*0.13)</f>
      </c>
    </row>
    <row collapsed="false" customFormat="false" customHeight="false" hidden="false" ht="12.1" outlineLevel="0" r="332">
      <c r="A332" s="36" t="n">
        <v>45670</v>
      </c>
      <c r="B332" s="2" t="s">
        <v>1163</v>
      </c>
      <c r="C332" s="2" t="s">
        <v>174</v>
      </c>
      <c r="D332" s="2" t="s">
        <v>175</v>
      </c>
      <c r="E332" s="17" t="n">
        <v>1</v>
      </c>
      <c r="F332" s="7" t="s">
        <f>=DATEDIF(A332,$N$2,"y")</f>
      </c>
      <c r="G332" s="7" t="s">
        <f>=DATEDIF(A332,$N$2,"ym")</f>
      </c>
      <c r="H332" s="7" t="s">
        <f>=DATEDIF(A332,$N$2,"md")</f>
      </c>
      <c r="I332" s="7" t="n">
        <v>143</v>
      </c>
      <c r="J332" s="17" t="n">
        <v>808.9</v>
      </c>
      <c r="K332" s="6" t="s">
        <f>=Портфель!F59*Портфель!G59/100*Портфель!$Q$13</f>
      </c>
      <c r="L332" s="6" t="s">
        <f>=(K332-J332)*E332</f>
      </c>
      <c r="M332" s="6" t="s">
        <f>=MAX(0,L332*0.13)</f>
      </c>
    </row>
    <row collapsed="false" customFormat="false" customHeight="false" hidden="false" ht="12.1" outlineLevel="0" r="333">
      <c r="A333" s="36" t="n">
        <v>45155</v>
      </c>
      <c r="B333" s="2" t="s">
        <v>1163</v>
      </c>
      <c r="C333" s="2" t="s">
        <v>177</v>
      </c>
      <c r="D333" s="2" t="s">
        <v>178</v>
      </c>
      <c r="E333" s="17" t="n">
        <v>2</v>
      </c>
      <c r="F333" s="7" t="s">
        <f>=DATEDIF(A333,$N$2,"y")</f>
      </c>
      <c r="G333" s="7" t="s">
        <f>=DATEDIF(A333,$N$2,"ym")</f>
      </c>
      <c r="H333" s="7" t="s">
        <f>=DATEDIF(A333,$N$2,"md")</f>
      </c>
      <c r="I333" s="7" t="n">
        <v>658</v>
      </c>
      <c r="J333" s="17" t="n">
        <v>907.905</v>
      </c>
      <c r="K333" s="6" t="s">
        <f>=Портфель!F60*Портфель!G60/100*Портфель!$Q$13</f>
      </c>
      <c r="L333" s="6" t="s">
        <f>=(K333-J333)*E333</f>
      </c>
      <c r="M333" s="6" t="s">
        <f>=MAX(0,L333*0.13)</f>
      </c>
    </row>
    <row collapsed="false" customFormat="false" customHeight="false" hidden="false" ht="12.1" outlineLevel="0" r="334">
      <c r="A334" s="36" t="n">
        <v>45471</v>
      </c>
      <c r="B334" s="2" t="s">
        <v>1163</v>
      </c>
      <c r="C334" s="2" t="s">
        <v>180</v>
      </c>
      <c r="D334" s="2" t="s">
        <v>181</v>
      </c>
      <c r="E334" s="17" t="n">
        <v>1</v>
      </c>
      <c r="F334" s="7" t="s">
        <f>=DATEDIF(A334,$N$2,"y")</f>
      </c>
      <c r="G334" s="7" t="s">
        <f>=DATEDIF(A334,$N$2,"ym")</f>
      </c>
      <c r="H334" s="7" t="s">
        <f>=DATEDIF(A334,$N$2,"md")</f>
      </c>
      <c r="I334" s="7" t="n">
        <v>342</v>
      </c>
      <c r="J334" s="17" t="n">
        <v>1016.68</v>
      </c>
      <c r="K334" s="6" t="s">
        <f>=Портфель!F61*Портфель!G61/100*Портфель!$Q$13</f>
      </c>
      <c r="L334" s="6" t="s">
        <f>=(K334-J334)*E334</f>
      </c>
      <c r="M334" s="6" t="s">
        <f>=MAX(0,L334*0.13)</f>
      </c>
    </row>
    <row collapsed="false" customFormat="false" customHeight="false" hidden="false" ht="12.1" outlineLevel="0" r="335">
      <c r="A335" s="36" t="n">
        <v>45471</v>
      </c>
      <c r="B335" s="2" t="s">
        <v>1163</v>
      </c>
      <c r="C335" s="2" t="s">
        <v>180</v>
      </c>
      <c r="D335" s="2" t="s">
        <v>181</v>
      </c>
      <c r="E335" s="17" t="n">
        <v>1</v>
      </c>
      <c r="F335" s="7" t="s">
        <f>=DATEDIF(A335,$N$2,"y")</f>
      </c>
      <c r="G335" s="7" t="s">
        <f>=DATEDIF(A335,$N$2,"ym")</f>
      </c>
      <c r="H335" s="7" t="s">
        <f>=DATEDIF(A335,$N$2,"md")</f>
      </c>
      <c r="I335" s="7" t="n">
        <v>342</v>
      </c>
      <c r="J335" s="17" t="n">
        <v>1016.68</v>
      </c>
      <c r="K335" s="6" t="s">
        <f>=Портфель!F61*Портфель!G61/100*Портфель!$Q$13</f>
      </c>
      <c r="L335" s="6" t="s">
        <f>=(K335-J335)*E335</f>
      </c>
      <c r="M335" s="6" t="s">
        <f>=MAX(0,L335*0.13)</f>
      </c>
    </row>
    <row collapsed="false" customFormat="false" customHeight="false" hidden="false" ht="12.1" outlineLevel="0" r="336">
      <c r="A336" s="36" t="n">
        <v>45147</v>
      </c>
      <c r="B336" s="2" t="s">
        <v>1163</v>
      </c>
      <c r="C336" s="2" t="s">
        <v>183</v>
      </c>
      <c r="D336" s="2" t="s">
        <v>184</v>
      </c>
      <c r="E336" s="17" t="n">
        <v>2</v>
      </c>
      <c r="F336" s="7" t="s">
        <f>=DATEDIF(A336,$N$2,"y")</f>
      </c>
      <c r="G336" s="7" t="s">
        <f>=DATEDIF(A336,$N$2,"ym")</f>
      </c>
      <c r="H336" s="7" t="s">
        <f>=DATEDIF(A336,$N$2,"md")</f>
      </c>
      <c r="I336" s="7" t="n">
        <v>666</v>
      </c>
      <c r="J336" s="17" t="n">
        <v>1015.5</v>
      </c>
      <c r="K336" s="6" t="s">
        <f>=Портфель!F62*Портфель!G62/100*Портфель!$Q$13</f>
      </c>
      <c r="L336" s="6" t="s">
        <f>=(K336-J336)*E336</f>
      </c>
      <c r="M336" s="6" t="s">
        <f>=MAX(0,L336*0.13)</f>
      </c>
    </row>
    <row collapsed="false" customFormat="false" customHeight="false" hidden="false" ht="12.1" outlineLevel="0" r="337">
      <c r="A337" s="36" t="n">
        <v>45082</v>
      </c>
      <c r="B337" s="2" t="s">
        <v>1163</v>
      </c>
      <c r="C337" s="2" t="s">
        <v>186</v>
      </c>
      <c r="D337" s="2" t="s">
        <v>187</v>
      </c>
      <c r="E337" s="17" t="n">
        <v>1</v>
      </c>
      <c r="F337" s="7" t="s">
        <f>=DATEDIF(A337,$N$2,"y")</f>
      </c>
      <c r="G337" s="7" t="s">
        <f>=DATEDIF(A337,$N$2,"ym")</f>
      </c>
      <c r="H337" s="7" t="s">
        <f>=DATEDIF(A337,$N$2,"md")</f>
      </c>
      <c r="I337" s="7" t="n">
        <v>731</v>
      </c>
      <c r="J337" s="17" t="n">
        <v>955.14</v>
      </c>
      <c r="K337" s="6" t="s">
        <f>=Портфель!F63*Портфель!G63/100*Портфель!$Q$13</f>
      </c>
      <c r="L337" s="6" t="s">
        <f>=(K337-J337)*E337</f>
      </c>
      <c r="M337" s="6" t="s">
        <f>=MAX(0,L337*0.13)</f>
      </c>
    </row>
    <row collapsed="false" customFormat="false" customHeight="false" hidden="false" ht="12.1" outlineLevel="0" r="338">
      <c r="A338" s="36" t="n">
        <v>45267</v>
      </c>
      <c r="B338" s="2" t="s">
        <v>1163</v>
      </c>
      <c r="C338" s="2" t="s">
        <v>186</v>
      </c>
      <c r="D338" s="2" t="s">
        <v>187</v>
      </c>
      <c r="E338" s="17" t="n">
        <v>1</v>
      </c>
      <c r="F338" s="7" t="s">
        <f>=DATEDIF(A338,$N$2,"y")</f>
      </c>
      <c r="G338" s="7" t="s">
        <f>=DATEDIF(A338,$N$2,"ym")</f>
      </c>
      <c r="H338" s="7" t="s">
        <f>=DATEDIF(A338,$N$2,"md")</f>
      </c>
      <c r="I338" s="7" t="n">
        <v>546</v>
      </c>
      <c r="J338" s="17" t="n">
        <v>880.79</v>
      </c>
      <c r="K338" s="6" t="s">
        <f>=Портфель!F63*Портфель!G63/100*Портфель!$Q$13</f>
      </c>
      <c r="L338" s="6" t="s">
        <f>=(K338-J338)*E338</f>
      </c>
      <c r="M338" s="6" t="s">
        <f>=MAX(0,L338*0.13)</f>
      </c>
    </row>
    <row collapsed="false" customFormat="false" customHeight="false" hidden="false" ht="12.1" outlineLevel="0" r="339">
      <c r="A339" s="36" t="n">
        <v>45471</v>
      </c>
      <c r="B339" s="2" t="s">
        <v>1163</v>
      </c>
      <c r="C339" s="2" t="s">
        <v>189</v>
      </c>
      <c r="D339" s="2" t="s">
        <v>190</v>
      </c>
      <c r="E339" s="17" t="n">
        <v>1</v>
      </c>
      <c r="F339" s="7" t="s">
        <f>=DATEDIF(A339,$N$2,"y")</f>
      </c>
      <c r="G339" s="7" t="s">
        <f>=DATEDIF(A339,$N$2,"ym")</f>
      </c>
      <c r="H339" s="7" t="s">
        <f>=DATEDIF(A339,$N$2,"md")</f>
      </c>
      <c r="I339" s="7" t="n">
        <v>342</v>
      </c>
      <c r="J339" s="17" t="n">
        <v>893.98</v>
      </c>
      <c r="K339" s="6" t="s">
        <f>=Портфель!F64*Портфель!G64/100*Портфель!$Q$13</f>
      </c>
      <c r="L339" s="6" t="s">
        <f>=(K339-J339)*E339</f>
      </c>
      <c r="M339" s="6" t="s">
        <f>=MAX(0,L339*0.13)</f>
      </c>
    </row>
    <row collapsed="false" customFormat="false" customHeight="false" hidden="false" ht="12.1" outlineLevel="0" r="340">
      <c r="A340" s="36" t="n">
        <v>45541</v>
      </c>
      <c r="B340" s="2" t="s">
        <v>1163</v>
      </c>
      <c r="C340" s="2" t="s">
        <v>189</v>
      </c>
      <c r="D340" s="2" t="s">
        <v>190</v>
      </c>
      <c r="E340" s="17" t="n">
        <v>1</v>
      </c>
      <c r="F340" s="7" t="s">
        <f>=DATEDIF(A340,$N$2,"y")</f>
      </c>
      <c r="G340" s="7" t="s">
        <f>=DATEDIF(A340,$N$2,"ym")</f>
      </c>
      <c r="H340" s="7" t="s">
        <f>=DATEDIF(A340,$N$2,"md")</f>
      </c>
      <c r="I340" s="7" t="n">
        <v>272</v>
      </c>
      <c r="J340" s="17" t="n">
        <v>860.88</v>
      </c>
      <c r="K340" s="6" t="s">
        <f>=Портфель!F64*Портфель!G64/100*Портфель!$Q$13</f>
      </c>
      <c r="L340" s="6" t="s">
        <f>=(K340-J340)*E340</f>
      </c>
      <c r="M340" s="6" t="s">
        <f>=MAX(0,L340*0.13)</f>
      </c>
    </row>
    <row collapsed="false" customFormat="false" customHeight="false" hidden="false" ht="12.1" outlineLevel="0" r="341">
      <c r="A341" s="36" t="n">
        <v>45356</v>
      </c>
      <c r="B341" s="2" t="s">
        <v>1163</v>
      </c>
      <c r="C341" s="2" t="s">
        <v>192</v>
      </c>
      <c r="D341" s="2" t="s">
        <v>193</v>
      </c>
      <c r="E341" s="17" t="n">
        <v>1</v>
      </c>
      <c r="F341" s="7" t="s">
        <f>=DATEDIF(A341,$N$2,"y")</f>
      </c>
      <c r="G341" s="7" t="s">
        <f>=DATEDIF(A341,$N$2,"ym")</f>
      </c>
      <c r="H341" s="7" t="s">
        <f>=DATEDIF(A341,$N$2,"md")</f>
      </c>
      <c r="I341" s="7" t="n">
        <v>457</v>
      </c>
      <c r="J341" s="17" t="n">
        <v>865.03</v>
      </c>
      <c r="K341" s="6" t="s">
        <f>=Портфель!F65*Портфель!G65/100*Портфель!$Q$13</f>
      </c>
      <c r="L341" s="6" t="s">
        <f>=(K341-J341)*E341</f>
      </c>
      <c r="M341" s="6" t="s">
        <f>=MAX(0,L341*0.13)</f>
      </c>
    </row>
    <row collapsed="false" customFormat="false" customHeight="false" hidden="false" ht="12.1" outlineLevel="0" r="342">
      <c r="A342" s="36" t="n">
        <v>45471</v>
      </c>
      <c r="B342" s="2" t="s">
        <v>1163</v>
      </c>
      <c r="C342" s="2" t="s">
        <v>192</v>
      </c>
      <c r="D342" s="2" t="s">
        <v>193</v>
      </c>
      <c r="E342" s="17" t="n">
        <v>1</v>
      </c>
      <c r="F342" s="7" t="s">
        <f>=DATEDIF(A342,$N$2,"y")</f>
      </c>
      <c r="G342" s="7" t="s">
        <f>=DATEDIF(A342,$N$2,"ym")</f>
      </c>
      <c r="H342" s="7" t="s">
        <f>=DATEDIF(A342,$N$2,"md")</f>
      </c>
      <c r="I342" s="7" t="n">
        <v>342</v>
      </c>
      <c r="J342" s="17" t="n">
        <v>825.99</v>
      </c>
      <c r="K342" s="6" t="s">
        <f>=Портфель!F65*Портфель!G65/100*Портфель!$Q$13</f>
      </c>
      <c r="L342" s="6" t="s">
        <f>=(K342-J342)*E342</f>
      </c>
      <c r="M342" s="6" t="s">
        <f>=MAX(0,L342*0.13)</f>
      </c>
    </row>
    <row collapsed="false" customFormat="false" customHeight="false" hidden="false" ht="12.1" outlineLevel="0" r="343">
      <c r="A343" s="36" t="n">
        <v>45670</v>
      </c>
      <c r="B343" s="2" t="s">
        <v>1163</v>
      </c>
      <c r="C343" s="2" t="s">
        <v>195</v>
      </c>
      <c r="D343" s="2" t="s">
        <v>196</v>
      </c>
      <c r="E343" s="17" t="n">
        <v>1</v>
      </c>
      <c r="F343" s="7" t="s">
        <f>=DATEDIF(A343,$N$2,"y")</f>
      </c>
      <c r="G343" s="7" t="s">
        <f>=DATEDIF(A343,$N$2,"ym")</f>
      </c>
      <c r="H343" s="7" t="s">
        <f>=DATEDIF(A343,$N$2,"md")</f>
      </c>
      <c r="I343" s="7" t="n">
        <v>143</v>
      </c>
      <c r="J343" s="17" t="n">
        <v>869.81</v>
      </c>
      <c r="K343" s="6" t="s">
        <f>=Портфель!F66*Портфель!G66/100*Портфель!$Q$13</f>
      </c>
      <c r="L343" s="6" t="s">
        <f>=(K343-J343)*E343</f>
      </c>
      <c r="M343" s="6" t="s">
        <f>=MAX(0,L343*0.13)</f>
      </c>
    </row>
    <row collapsed="false" customFormat="false" customHeight="false" hidden="false" ht="12.1" outlineLevel="0" r="344">
      <c r="A344" s="36" t="n">
        <v>45670</v>
      </c>
      <c r="B344" s="2" t="s">
        <v>1163</v>
      </c>
      <c r="C344" s="2" t="s">
        <v>195</v>
      </c>
      <c r="D344" s="2" t="s">
        <v>196</v>
      </c>
      <c r="E344" s="17" t="n">
        <v>1</v>
      </c>
      <c r="F344" s="7" t="s">
        <f>=DATEDIF(A344,$N$2,"y")</f>
      </c>
      <c r="G344" s="7" t="s">
        <f>=DATEDIF(A344,$N$2,"ym")</f>
      </c>
      <c r="H344" s="7" t="s">
        <f>=DATEDIF(A344,$N$2,"md")</f>
      </c>
      <c r="I344" s="7" t="n">
        <v>143</v>
      </c>
      <c r="J344" s="17" t="n">
        <v>869.91</v>
      </c>
      <c r="K344" s="6" t="s">
        <f>=Портфель!F66*Портфель!G66/100*Портфель!$Q$13</f>
      </c>
      <c r="L344" s="6" t="s">
        <f>=(K344-J344)*E344</f>
      </c>
      <c r="M344" s="6" t="s">
        <f>=MAX(0,L344*0.13)</f>
      </c>
    </row>
    <row collapsed="false" customFormat="false" customHeight="false" hidden="false" ht="12.1" outlineLevel="0" r="345">
      <c r="A345" s="36" t="n">
        <v>45670</v>
      </c>
      <c r="B345" s="2" t="s">
        <v>1163</v>
      </c>
      <c r="C345" s="2" t="s">
        <v>198</v>
      </c>
      <c r="D345" s="2" t="s">
        <v>199</v>
      </c>
      <c r="E345" s="17" t="n">
        <v>1</v>
      </c>
      <c r="F345" s="7" t="s">
        <f>=DATEDIF(A345,$N$2,"y")</f>
      </c>
      <c r="G345" s="7" t="s">
        <f>=DATEDIF(A345,$N$2,"ym")</f>
      </c>
      <c r="H345" s="7" t="s">
        <f>=DATEDIF(A345,$N$2,"md")</f>
      </c>
      <c r="I345" s="7" t="n">
        <v>143</v>
      </c>
      <c r="J345" s="17" t="n">
        <v>859.96</v>
      </c>
      <c r="K345" s="6" t="s">
        <f>=Портфель!F67*Портфель!G67/100*Портфель!$Q$13</f>
      </c>
      <c r="L345" s="6" t="s">
        <f>=(K345-J345)*E345</f>
      </c>
      <c r="M345" s="6" t="s">
        <f>=MAX(0,L345*0.13)</f>
      </c>
    </row>
    <row collapsed="false" customFormat="false" customHeight="false" hidden="false" ht="12.1" outlineLevel="0" r="346">
      <c r="A346" s="36" t="n">
        <v>45670</v>
      </c>
      <c r="B346" s="2" t="s">
        <v>1163</v>
      </c>
      <c r="C346" s="2" t="s">
        <v>198</v>
      </c>
      <c r="D346" s="2" t="s">
        <v>199</v>
      </c>
      <c r="E346" s="17" t="n">
        <v>1</v>
      </c>
      <c r="F346" s="7" t="s">
        <f>=DATEDIF(A346,$N$2,"y")</f>
      </c>
      <c r="G346" s="7" t="s">
        <f>=DATEDIF(A346,$N$2,"ym")</f>
      </c>
      <c r="H346" s="7" t="s">
        <f>=DATEDIF(A346,$N$2,"md")</f>
      </c>
      <c r="I346" s="7" t="n">
        <v>143</v>
      </c>
      <c r="J346" s="17" t="n">
        <v>860.66</v>
      </c>
      <c r="K346" s="6" t="s">
        <f>=Портфель!F67*Портфель!G67/100*Портфель!$Q$13</f>
      </c>
      <c r="L346" s="6" t="s">
        <f>=(K346-J346)*E346</f>
      </c>
      <c r="M346" s="6" t="s">
        <f>=MAX(0,L346*0.13)</f>
      </c>
    </row>
    <row collapsed="false" customFormat="false" customHeight="false" hidden="false" ht="12.1" outlineLevel="0" r="347">
      <c r="A347" s="36" t="n">
        <v>45541</v>
      </c>
      <c r="B347" s="2" t="s">
        <v>1163</v>
      </c>
      <c r="C347" s="2" t="s">
        <v>201</v>
      </c>
      <c r="D347" s="2" t="s">
        <v>202</v>
      </c>
      <c r="E347" s="17" t="n">
        <v>1</v>
      </c>
      <c r="F347" s="7" t="s">
        <f>=DATEDIF(A347,$N$2,"y")</f>
      </c>
      <c r="G347" s="7" t="s">
        <f>=DATEDIF(A347,$N$2,"ym")</f>
      </c>
      <c r="H347" s="7" t="s">
        <f>=DATEDIF(A347,$N$2,"md")</f>
      </c>
      <c r="I347" s="7" t="n">
        <v>272</v>
      </c>
      <c r="J347" s="17" t="n">
        <v>817.83</v>
      </c>
      <c r="K347" s="6" t="s">
        <f>=Портфель!F68*Портфель!G68/100*Портфель!$Q$13</f>
      </c>
      <c r="L347" s="6" t="s">
        <f>=(K347-J347)*E347</f>
      </c>
      <c r="M347" s="6" t="s">
        <f>=MAX(0,L347*0.13)</f>
      </c>
    </row>
    <row collapsed="false" customFormat="false" customHeight="false" hidden="false" ht="12.1" outlineLevel="0" r="348">
      <c r="A348" s="36" t="n">
        <v>45776</v>
      </c>
      <c r="B348" s="2" t="s">
        <v>1163</v>
      </c>
      <c r="C348" s="2" t="s">
        <v>201</v>
      </c>
      <c r="D348" s="2" t="s">
        <v>202</v>
      </c>
      <c r="E348" s="17" t="n">
        <v>1</v>
      </c>
      <c r="F348" s="7" t="s">
        <f>=DATEDIF(A348,$N$2,"y")</f>
      </c>
      <c r="G348" s="7" t="s">
        <f>=DATEDIF(A348,$N$2,"ym")</f>
      </c>
      <c r="H348" s="7" t="s">
        <f>=DATEDIF(A348,$N$2,"md")</f>
      </c>
      <c r="I348" s="7" t="n">
        <v>37</v>
      </c>
      <c r="J348" s="17" t="n">
        <v>821.33</v>
      </c>
      <c r="K348" s="6" t="s">
        <f>=Портфель!F68*Портфель!G68/100*Портфель!$Q$13</f>
      </c>
      <c r="L348" s="6" t="s">
        <f>=(K348-J348)*E348</f>
      </c>
      <c r="M348" s="6" t="s">
        <f>=MAX(0,L348*0.13)</f>
      </c>
    </row>
    <row collapsed="false" customFormat="false" customHeight="false" hidden="false" ht="12.1" outlineLevel="0" r="349">
      <c r="A349" s="36" t="n">
        <v>45670</v>
      </c>
      <c r="B349" s="2" t="s">
        <v>1163</v>
      </c>
      <c r="C349" s="2" t="s">
        <v>204</v>
      </c>
      <c r="D349" s="2" t="s">
        <v>205</v>
      </c>
      <c r="E349" s="17" t="n">
        <v>1</v>
      </c>
      <c r="F349" s="7" t="s">
        <f>=DATEDIF(A349,$N$2,"y")</f>
      </c>
      <c r="G349" s="7" t="s">
        <f>=DATEDIF(A349,$N$2,"ym")</f>
      </c>
      <c r="H349" s="7" t="s">
        <f>=DATEDIF(A349,$N$2,"md")</f>
      </c>
      <c r="I349" s="7" t="n">
        <v>143</v>
      </c>
      <c r="J349" s="17" t="n">
        <v>799.74</v>
      </c>
      <c r="K349" s="6" t="s">
        <f>=Портфель!F69*Портфель!G69/100*Портфель!$Q$13</f>
      </c>
      <c r="L349" s="6" t="s">
        <f>=(K349-J349)*E349</f>
      </c>
      <c r="M349" s="6" t="s">
        <f>=MAX(0,L349*0.13)</f>
      </c>
    </row>
    <row collapsed="false" customFormat="false" customHeight="false" hidden="false" ht="12.1" outlineLevel="0" r="350">
      <c r="A350" s="36" t="n">
        <v>45670</v>
      </c>
      <c r="B350" s="2" t="s">
        <v>1163</v>
      </c>
      <c r="C350" s="2" t="s">
        <v>204</v>
      </c>
      <c r="D350" s="2" t="s">
        <v>205</v>
      </c>
      <c r="E350" s="17" t="n">
        <v>1</v>
      </c>
      <c r="F350" s="7" t="s">
        <f>=DATEDIF(A350,$N$2,"y")</f>
      </c>
      <c r="G350" s="7" t="s">
        <f>=DATEDIF(A350,$N$2,"ym")</f>
      </c>
      <c r="H350" s="7" t="s">
        <f>=DATEDIF(A350,$N$2,"md")</f>
      </c>
      <c r="I350" s="7" t="n">
        <v>143</v>
      </c>
      <c r="J350" s="17" t="n">
        <v>799.64</v>
      </c>
      <c r="K350" s="6" t="s">
        <f>=Портфель!F69*Портфель!G69/100*Портфель!$Q$13</f>
      </c>
      <c r="L350" s="6" t="s">
        <f>=(K350-J350)*E350</f>
      </c>
      <c r="M350" s="6" t="s">
        <f>=MAX(0,L350*0.13)</f>
      </c>
    </row>
    <row collapsed="false" customFormat="false" customHeight="false" hidden="false" ht="12.1" outlineLevel="0" r="351">
      <c r="A351" s="36" t="n">
        <v>45729</v>
      </c>
      <c r="B351" s="2" t="s">
        <v>1163</v>
      </c>
      <c r="C351" s="2" t="s">
        <v>207</v>
      </c>
      <c r="D351" s="2" t="s">
        <v>208</v>
      </c>
      <c r="E351" s="17" t="n">
        <v>1</v>
      </c>
      <c r="F351" s="7" t="s">
        <f>=DATEDIF(A351,$N$2,"y")</f>
      </c>
      <c r="G351" s="7" t="s">
        <f>=DATEDIF(A351,$N$2,"ym")</f>
      </c>
      <c r="H351" s="7" t="s">
        <f>=DATEDIF(A351,$N$2,"md")</f>
      </c>
      <c r="I351" s="7" t="n">
        <v>84</v>
      </c>
      <c r="J351" s="17" t="n">
        <v>783.05</v>
      </c>
      <c r="K351" s="6" t="s">
        <f>=Портфель!F70*Портфель!G70/100*Портфель!$Q$13</f>
      </c>
      <c r="L351" s="6" t="s">
        <f>=(K351-J351)*E351</f>
      </c>
      <c r="M351" s="6" t="s">
        <f>=MAX(0,L351*0.13)</f>
      </c>
    </row>
    <row collapsed="false" customFormat="false" customHeight="false" hidden="false" ht="12.1" outlineLevel="0" r="352">
      <c r="A352" s="36" t="n">
        <v>45776</v>
      </c>
      <c r="B352" s="2" t="s">
        <v>1163</v>
      </c>
      <c r="C352" s="2" t="s">
        <v>207</v>
      </c>
      <c r="D352" s="2" t="s">
        <v>208</v>
      </c>
      <c r="E352" s="17" t="n">
        <v>1</v>
      </c>
      <c r="F352" s="7" t="s">
        <f>=DATEDIF(A352,$N$2,"y")</f>
      </c>
      <c r="G352" s="7" t="s">
        <f>=DATEDIF(A352,$N$2,"ym")</f>
      </c>
      <c r="H352" s="7" t="s">
        <f>=DATEDIF(A352,$N$2,"md")</f>
      </c>
      <c r="I352" s="7" t="n">
        <v>37</v>
      </c>
      <c r="J352" s="17" t="n">
        <v>784.54</v>
      </c>
      <c r="K352" s="6" t="s">
        <f>=Портфель!F70*Портфель!G70/100*Портфель!$Q$13</f>
      </c>
      <c r="L352" s="6" t="s">
        <f>=(K352-J352)*E352</f>
      </c>
      <c r="M352" s="6" t="s">
        <f>=MAX(0,L352*0.13)</f>
      </c>
    </row>
    <row collapsed="false" customFormat="false" customHeight="false" hidden="false" ht="12.1" outlineLevel="0" r="353">
      <c r="A353" s="36" t="n">
        <v>45670</v>
      </c>
      <c r="B353" s="2" t="s">
        <v>1163</v>
      </c>
      <c r="C353" s="2" t="s">
        <v>210</v>
      </c>
      <c r="D353" s="2" t="s">
        <v>211</v>
      </c>
      <c r="E353" s="17" t="n">
        <v>1</v>
      </c>
      <c r="F353" s="7" t="s">
        <f>=DATEDIF(A353,$N$2,"y")</f>
      </c>
      <c r="G353" s="7" t="s">
        <f>=DATEDIF(A353,$N$2,"ym")</f>
      </c>
      <c r="H353" s="7" t="s">
        <f>=DATEDIF(A353,$N$2,"md")</f>
      </c>
      <c r="I353" s="7" t="n">
        <v>143</v>
      </c>
      <c r="J353" s="17" t="n">
        <v>708.87</v>
      </c>
      <c r="K353" s="6" t="s">
        <f>=Портфель!F71*Портфель!G71/100*Портфель!$Q$13</f>
      </c>
      <c r="L353" s="6" t="s">
        <f>=(K353-J353)*E353</f>
      </c>
      <c r="M353" s="6" t="s">
        <f>=MAX(0,L353*0.13)</f>
      </c>
    </row>
    <row collapsed="false" customFormat="false" customHeight="false" hidden="false" ht="12.1" outlineLevel="0" r="354">
      <c r="A354" s="36" t="n">
        <v>45670</v>
      </c>
      <c r="B354" s="2" t="s">
        <v>1163</v>
      </c>
      <c r="C354" s="2" t="s">
        <v>210</v>
      </c>
      <c r="D354" s="2" t="s">
        <v>211</v>
      </c>
      <c r="E354" s="17" t="n">
        <v>1</v>
      </c>
      <c r="F354" s="7" t="s">
        <f>=DATEDIF(A354,$N$2,"y")</f>
      </c>
      <c r="G354" s="7" t="s">
        <f>=DATEDIF(A354,$N$2,"ym")</f>
      </c>
      <c r="H354" s="7" t="s">
        <f>=DATEDIF(A354,$N$2,"md")</f>
      </c>
      <c r="I354" s="7" t="n">
        <v>143</v>
      </c>
      <c r="J354" s="17" t="n">
        <v>708.97</v>
      </c>
      <c r="K354" s="6" t="s">
        <f>=Портфель!F71*Портфель!G71/100*Портфель!$Q$13</f>
      </c>
      <c r="L354" s="6" t="s">
        <f>=(K354-J354)*E354</f>
      </c>
      <c r="M354" s="6" t="s">
        <f>=MAX(0,L354*0.13)</f>
      </c>
    </row>
    <row collapsed="false" customFormat="false" customHeight="false" hidden="false" ht="12.1" outlineLevel="0" r="355">
      <c r="A355" s="36" t="n">
        <v>45267</v>
      </c>
      <c r="B355" s="2" t="s">
        <v>1163</v>
      </c>
      <c r="C355" s="2" t="s">
        <v>213</v>
      </c>
      <c r="D355" s="2" t="s">
        <v>214</v>
      </c>
      <c r="E355" s="17" t="n">
        <v>2</v>
      </c>
      <c r="F355" s="7" t="s">
        <f>=DATEDIF(A355,$N$2,"y")</f>
      </c>
      <c r="G355" s="7" t="s">
        <f>=DATEDIF(A355,$N$2,"ym")</f>
      </c>
      <c r="H355" s="7" t="s">
        <f>=DATEDIF(A355,$N$2,"md")</f>
      </c>
      <c r="I355" s="7" t="n">
        <v>546</v>
      </c>
      <c r="J355" s="17" t="n">
        <v>906.535</v>
      </c>
      <c r="K355" s="6" t="s">
        <f>=Портфель!F72*Портфель!G72/100*Портфель!$Q$13</f>
      </c>
      <c r="L355" s="6" t="s">
        <f>=(K355-J355)*E355</f>
      </c>
      <c r="M355" s="6" t="s">
        <f>=MAX(0,L355*0.13)</f>
      </c>
    </row>
    <row collapsed="false" customFormat="false" customHeight="false" hidden="false" ht="12.1" outlineLevel="0" r="356">
      <c r="A356" s="36" t="n">
        <v>45776</v>
      </c>
      <c r="B356" s="2" t="s">
        <v>1163</v>
      </c>
      <c r="C356" s="2" t="s">
        <v>216</v>
      </c>
      <c r="D356" s="2" t="s">
        <v>217</v>
      </c>
      <c r="E356" s="17" t="n">
        <v>1</v>
      </c>
      <c r="F356" s="7" t="s">
        <f>=DATEDIF(A356,$N$2,"y")</f>
      </c>
      <c r="G356" s="7" t="s">
        <f>=DATEDIF(A356,$N$2,"ym")</f>
      </c>
      <c r="H356" s="7" t="s">
        <f>=DATEDIF(A356,$N$2,"md")</f>
      </c>
      <c r="I356" s="7" t="n">
        <v>37</v>
      </c>
      <c r="J356" s="17" t="n">
        <v>1032.56</v>
      </c>
      <c r="K356" s="6" t="s">
        <f>=Портфель!F73*Портфель!G73/100*Портфель!$Q$13</f>
      </c>
      <c r="L356" s="6" t="s">
        <f>=(K356-J356)*E356</f>
      </c>
      <c r="M356" s="6" t="s">
        <f>=MAX(0,L356*0.13)</f>
      </c>
    </row>
    <row collapsed="false" customFormat="false" customHeight="false" hidden="false" ht="12.1" outlineLevel="0" r="357">
      <c r="A357" s="36" t="n">
        <v>45729</v>
      </c>
      <c r="B357" s="2" t="s">
        <v>1163</v>
      </c>
      <c r="C357" s="2" t="s">
        <v>219</v>
      </c>
      <c r="D357" s="2" t="s">
        <v>220</v>
      </c>
      <c r="E357" s="17" t="n">
        <v>1</v>
      </c>
      <c r="F357" s="7" t="s">
        <f>=DATEDIF(A357,$N$2,"y")</f>
      </c>
      <c r="G357" s="7" t="s">
        <f>=DATEDIF(A357,$N$2,"ym")</f>
      </c>
      <c r="H357" s="7" t="s">
        <f>=DATEDIF(A357,$N$2,"md")</f>
      </c>
      <c r="I357" s="7" t="n">
        <v>84</v>
      </c>
      <c r="J357" s="17" t="n">
        <v>1102.66</v>
      </c>
      <c r="K357" s="6" t="s">
        <f>=Портфель!F74*Портфель!G74/100*Портфель!$Q$13</f>
      </c>
      <c r="L357" s="6" t="s">
        <f>=(K357-J357)*E357</f>
      </c>
      <c r="M357" s="6" t="s">
        <f>=MAX(0,L357*0.13)</f>
      </c>
    </row>
    <row collapsed="false" customFormat="false" customHeight="false" hidden="false" ht="12.1" outlineLevel="0" r="358">
      <c r="A358" s="36" t="n">
        <v>45776</v>
      </c>
      <c r="B358" s="2" t="s">
        <v>1163</v>
      </c>
      <c r="C358" s="2" t="s">
        <v>222</v>
      </c>
      <c r="D358" s="2" t="s">
        <v>223</v>
      </c>
      <c r="E358" s="17" t="n">
        <v>1</v>
      </c>
      <c r="F358" s="7" t="s">
        <f>=DATEDIF(A358,$N$2,"y")</f>
      </c>
      <c r="G358" s="7" t="s">
        <f>=DATEDIF(A358,$N$2,"ym")</f>
      </c>
      <c r="H358" s="7" t="s">
        <f>=DATEDIF(A358,$N$2,"md")</f>
      </c>
      <c r="I358" s="7" t="n">
        <v>37</v>
      </c>
      <c r="J358" s="17" t="n">
        <v>1045.7</v>
      </c>
      <c r="K358" s="6" t="s">
        <f>=Портфель!F75*Портфель!G75/100*Портфель!$Q$13</f>
      </c>
      <c r="L358" s="6" t="s">
        <f>=(K358-J358)*E358</f>
      </c>
      <c r="M358" s="6" t="s">
        <f>=MAX(0,L358*0.13)</f>
      </c>
    </row>
    <row collapsed="false" customFormat="false" customHeight="false" hidden="false" ht="12.1" outlineLevel="0" r="359">
      <c r="A359" s="36" t="n">
        <v>44903</v>
      </c>
      <c r="B359" s="2" t="s">
        <v>1163</v>
      </c>
      <c r="C359" s="2" t="s">
        <v>225</v>
      </c>
      <c r="D359" s="2" t="s">
        <v>226</v>
      </c>
      <c r="E359" s="17" t="n">
        <v>1</v>
      </c>
      <c r="F359" s="7" t="s">
        <f>=DATEDIF(A359,$N$2,"y")</f>
      </c>
      <c r="G359" s="7" t="s">
        <f>=DATEDIF(A359,$N$2,"ym")</f>
      </c>
      <c r="H359" s="7" t="s">
        <f>=DATEDIF(A359,$N$2,"md")</f>
      </c>
      <c r="I359" s="7" t="n">
        <v>910</v>
      </c>
      <c r="J359" s="17" t="n">
        <v>1068.61</v>
      </c>
      <c r="K359" s="6" t="s">
        <f>=Портфель!F76*Портфель!G76/100*Портфель!$Q$13</f>
      </c>
      <c r="L359" s="6" t="s">
        <f>=(K359-J359)*E359</f>
      </c>
      <c r="M359" s="6" t="s">
        <f>=MAX(0,L359*0.13)</f>
      </c>
    </row>
    <row collapsed="false" customFormat="false" customHeight="false" hidden="false" ht="12.1" outlineLevel="0" r="360">
      <c r="A360" s="36" t="n">
        <v>45751</v>
      </c>
      <c r="B360" s="2" t="s">
        <v>1163</v>
      </c>
      <c r="C360" s="2" t="s">
        <v>228</v>
      </c>
      <c r="D360" s="2" t="s">
        <v>229</v>
      </c>
      <c r="E360" s="17" t="n">
        <v>1</v>
      </c>
      <c r="F360" s="7" t="s">
        <f>=DATEDIF(A360,$N$2,"y")</f>
      </c>
      <c r="G360" s="7" t="s">
        <f>=DATEDIF(A360,$N$2,"ym")</f>
      </c>
      <c r="H360" s="7" t="s">
        <f>=DATEDIF(A360,$N$2,"md")</f>
      </c>
      <c r="I360" s="7" t="n">
        <v>62</v>
      </c>
      <c r="J360" s="17" t="n">
        <v>981.05</v>
      </c>
      <c r="K360" s="6" t="s">
        <f>=Портфель!F77*Портфель!G77/100*Портфель!$Q$13</f>
      </c>
      <c r="L360" s="6" t="s">
        <f>=(K360-J360)*E360</f>
      </c>
      <c r="M360" s="6" t="s">
        <f>=MAX(0,L360*0.13)</f>
      </c>
    </row>
    <row collapsed="false" customFormat="false" customHeight="false" hidden="false" ht="12.1" outlineLevel="0" r="361">
      <c r="A361" s="36" t="n">
        <v>45776</v>
      </c>
      <c r="B361" s="2" t="s">
        <v>1163</v>
      </c>
      <c r="C361" s="2" t="s">
        <v>231</v>
      </c>
      <c r="D361" s="2" t="s">
        <v>232</v>
      </c>
      <c r="E361" s="17" t="n">
        <v>1</v>
      </c>
      <c r="F361" s="7" t="s">
        <f>=DATEDIF(A361,$N$2,"y")</f>
      </c>
      <c r="G361" s="7" t="s">
        <f>=DATEDIF(A361,$N$2,"ym")</f>
      </c>
      <c r="H361" s="7" t="s">
        <f>=DATEDIF(A361,$N$2,"md")</f>
      </c>
      <c r="I361" s="7" t="n">
        <v>37</v>
      </c>
      <c r="J361" s="17" t="n">
        <v>1022.21</v>
      </c>
      <c r="K361" s="6" t="s">
        <f>=Портфель!F78*Портфель!G78/100*Портфель!$Q$13</f>
      </c>
      <c r="L361" s="6" t="s">
        <f>=(K361-J361)*E361</f>
      </c>
      <c r="M361" s="6" t="s">
        <f>=MAX(0,L361*0.13)</f>
      </c>
    </row>
    <row collapsed="false" customFormat="false" customHeight="false" hidden="false" ht="12.1" outlineLevel="0" r="362">
      <c r="A362" s="36" t="n">
        <v>45356</v>
      </c>
      <c r="B362" s="2" t="s">
        <v>1163</v>
      </c>
      <c r="C362" s="2" t="s">
        <v>234</v>
      </c>
      <c r="D362" s="2" t="s">
        <v>235</v>
      </c>
      <c r="E362" s="17" t="n">
        <v>1</v>
      </c>
      <c r="F362" s="7" t="s">
        <f>=DATEDIF(A362,$N$2,"y")</f>
      </c>
      <c r="G362" s="7" t="s">
        <f>=DATEDIF(A362,$N$2,"ym")</f>
      </c>
      <c r="H362" s="7" t="s">
        <f>=DATEDIF(A362,$N$2,"md")</f>
      </c>
      <c r="I362" s="7" t="n">
        <v>457</v>
      </c>
      <c r="J362" s="17" t="n">
        <v>1022.03</v>
      </c>
      <c r="K362" s="6" t="s">
        <f>=Портфель!F79*Портфель!G79/100*Портфель!$Q$13</f>
      </c>
      <c r="L362" s="6" t="s">
        <f>=(K362-J362)*E362</f>
      </c>
      <c r="M362" s="6" t="s">
        <f>=MAX(0,L362*0.13)</f>
      </c>
    </row>
    <row collapsed="false" customFormat="false" customHeight="false" hidden="false" ht="12.1" outlineLevel="0" r="363">
      <c r="A363" s="36" t="n">
        <v>45147</v>
      </c>
      <c r="B363" s="2" t="s">
        <v>1163</v>
      </c>
      <c r="C363" s="2" t="s">
        <v>237</v>
      </c>
      <c r="D363" s="2" t="s">
        <v>238</v>
      </c>
      <c r="E363" s="17" t="n">
        <v>1</v>
      </c>
      <c r="F363" s="7" t="s">
        <f>=DATEDIF(A363,$N$2,"y")</f>
      </c>
      <c r="G363" s="7" t="s">
        <f>=DATEDIF(A363,$N$2,"ym")</f>
      </c>
      <c r="H363" s="7" t="s">
        <f>=DATEDIF(A363,$N$2,"md")</f>
      </c>
      <c r="I363" s="7" t="n">
        <v>666</v>
      </c>
      <c r="J363" s="17" t="n">
        <v>1013.35</v>
      </c>
      <c r="K363" s="6" t="s">
        <f>=Портфель!F80*Портфель!G80/100*Портфель!$Q$13</f>
      </c>
      <c r="L363" s="6" t="s">
        <f>=(K363-J363)*E363</f>
      </c>
      <c r="M363" s="6" t="s">
        <f>=MAX(0,L363*0.13)</f>
      </c>
    </row>
    <row collapsed="false" customFormat="false" customHeight="false" hidden="false" ht="12.1" outlineLevel="0" r="364">
      <c r="A364" s="36" t="n">
        <v>45541</v>
      </c>
      <c r="B364" s="2" t="s">
        <v>1163</v>
      </c>
      <c r="C364" s="2" t="s">
        <v>240</v>
      </c>
      <c r="D364" s="2" t="s">
        <v>241</v>
      </c>
      <c r="E364" s="17" t="n">
        <v>1</v>
      </c>
      <c r="F364" s="7" t="s">
        <f>=DATEDIF(A364,$N$2,"y")</f>
      </c>
      <c r="G364" s="7" t="s">
        <f>=DATEDIF(A364,$N$2,"ym")</f>
      </c>
      <c r="H364" s="7" t="s">
        <f>=DATEDIF(A364,$N$2,"md")</f>
      </c>
      <c r="I364" s="7" t="n">
        <v>272</v>
      </c>
      <c r="J364" s="17" t="n">
        <v>912.58</v>
      </c>
      <c r="K364" s="6" t="s">
        <f>=Портфель!F81*Портфель!G81/100*Портфель!$Q$13</f>
      </c>
      <c r="L364" s="6" t="s">
        <f>=(K364-J364)*E364</f>
      </c>
      <c r="M364" s="6" t="s">
        <f>=MAX(0,L364*0.13)</f>
      </c>
    </row>
    <row collapsed="false" customFormat="false" customHeight="false" hidden="false" ht="12.1" outlineLevel="0" r="365">
      <c r="A365" s="36" t="n">
        <v>45751</v>
      </c>
      <c r="B365" s="2" t="s">
        <v>1163</v>
      </c>
      <c r="C365" s="2" t="s">
        <v>243</v>
      </c>
      <c r="D365" s="2" t="s">
        <v>244</v>
      </c>
      <c r="E365" s="17" t="n">
        <v>1</v>
      </c>
      <c r="F365" s="7" t="s">
        <f>=DATEDIF(A365,$N$2,"y")</f>
      </c>
      <c r="G365" s="7" t="s">
        <f>=DATEDIF(A365,$N$2,"ym")</f>
      </c>
      <c r="H365" s="7" t="s">
        <f>=DATEDIF(A365,$N$2,"md")</f>
      </c>
      <c r="I365" s="7" t="n">
        <v>62</v>
      </c>
      <c r="J365" s="17" t="n">
        <v>957.5</v>
      </c>
      <c r="K365" s="6" t="s">
        <f>=Портфель!F82*Портфель!G82/100*Портфель!$Q$13</f>
      </c>
      <c r="L365" s="6" t="s">
        <f>=(K365-J365)*E365</f>
      </c>
      <c r="M365" s="6" t="s">
        <f>=MAX(0,L365*0.13)</f>
      </c>
    </row>
    <row collapsed="false" customFormat="false" customHeight="false" hidden="false" ht="12.1" outlineLevel="0" r="366">
      <c r="A366" s="36" t="n">
        <v>45219</v>
      </c>
      <c r="B366" s="2" t="s">
        <v>1163</v>
      </c>
      <c r="C366" s="2" t="s">
        <v>246</v>
      </c>
      <c r="D366" s="2" t="s">
        <v>247</v>
      </c>
      <c r="E366" s="17" t="n">
        <v>1</v>
      </c>
      <c r="F366" s="7" t="s">
        <f>=DATEDIF(A366,$N$2,"y")</f>
      </c>
      <c r="G366" s="7" t="s">
        <f>=DATEDIF(A366,$N$2,"ym")</f>
      </c>
      <c r="H366" s="7" t="s">
        <f>=DATEDIF(A366,$N$2,"md")</f>
      </c>
      <c r="I366" s="7" t="n">
        <v>594</v>
      </c>
      <c r="J366" s="17" t="n">
        <v>995.2</v>
      </c>
      <c r="K366" s="6" t="s">
        <f>=Портфель!F83*Портфель!G83/100*Портфель!$Q$13</f>
      </c>
      <c r="L366" s="6" t="s">
        <f>=(K366-J366)*E366</f>
      </c>
      <c r="M366" s="6" t="s">
        <f>=MAX(0,L366*0.13)</f>
      </c>
    </row>
    <row collapsed="false" customFormat="false" customHeight="false" hidden="false" ht="12.1" outlineLevel="0" r="367">
      <c r="A367" s="36" t="n">
        <v>45082</v>
      </c>
      <c r="B367" s="2" t="s">
        <v>1163</v>
      </c>
      <c r="C367" s="2" t="s">
        <v>249</v>
      </c>
      <c r="D367" s="2" t="s">
        <v>250</v>
      </c>
      <c r="E367" s="17" t="n">
        <v>1</v>
      </c>
      <c r="F367" s="7" t="s">
        <f>=DATEDIF(A367,$N$2,"y")</f>
      </c>
      <c r="G367" s="7" t="s">
        <f>=DATEDIF(A367,$N$2,"ym")</f>
      </c>
      <c r="H367" s="7" t="s">
        <f>=DATEDIF(A367,$N$2,"md")</f>
      </c>
      <c r="I367" s="7" t="n">
        <v>731</v>
      </c>
      <c r="J367" s="17" t="n">
        <v>1033.91</v>
      </c>
      <c r="K367" s="6" t="s">
        <f>=Портфель!F84*Портфель!G84/100*Портфель!$Q$13</f>
      </c>
      <c r="L367" s="6" t="s">
        <f>=(K367-J367)*E367</f>
      </c>
      <c r="M367" s="6" t="s">
        <f>=MAX(0,L367*0.13)</f>
      </c>
    </row>
    <row collapsed="false" customFormat="false" customHeight="false" hidden="false" ht="12.1" outlineLevel="0" r="368">
      <c r="A368" s="36" t="n">
        <v>44867</v>
      </c>
      <c r="B368" s="2" t="s">
        <v>1163</v>
      </c>
      <c r="C368" s="2" t="s">
        <v>252</v>
      </c>
      <c r="D368" s="2" t="s">
        <v>253</v>
      </c>
      <c r="E368" s="17" t="n">
        <v>1</v>
      </c>
      <c r="F368" s="7" t="s">
        <f>=DATEDIF(A368,$N$2,"y")</f>
      </c>
      <c r="G368" s="7" t="s">
        <f>=DATEDIF(A368,$N$2,"ym")</f>
      </c>
      <c r="H368" s="7" t="s">
        <f>=DATEDIF(A368,$N$2,"md")</f>
      </c>
      <c r="I368" s="7" t="n">
        <v>946</v>
      </c>
      <c r="J368" s="17" t="n">
        <v>1069.62</v>
      </c>
      <c r="K368" s="6" t="s">
        <f>=Портфель!F85*Портфель!G85/100*Портфель!$Q$13</f>
      </c>
      <c r="L368" s="6" t="s">
        <f>=(K368-J368)*E368</f>
      </c>
      <c r="M368" s="6" t="s">
        <f>=MAX(0,L368*0.13)</f>
      </c>
    </row>
    <row collapsed="false" customFormat="false" customHeight="false" hidden="false" ht="12.1" outlineLevel="0" r="369">
      <c r="A369" s="36" t="n">
        <v>45082</v>
      </c>
      <c r="B369" s="2" t="s">
        <v>1163</v>
      </c>
      <c r="C369" s="2" t="s">
        <v>255</v>
      </c>
      <c r="D369" s="2" t="s">
        <v>256</v>
      </c>
      <c r="E369" s="17" t="n">
        <v>1</v>
      </c>
      <c r="F369" s="7" t="s">
        <f>=DATEDIF(A369,$N$2,"y")</f>
      </c>
      <c r="G369" s="7" t="s">
        <f>=DATEDIF(A369,$N$2,"ym")</f>
      </c>
      <c r="H369" s="7" t="s">
        <f>=DATEDIF(A369,$N$2,"md")</f>
      </c>
      <c r="I369" s="7" t="n">
        <v>731</v>
      </c>
      <c r="J369" s="17" t="n">
        <v>1027.77</v>
      </c>
      <c r="K369" s="6" t="s">
        <f>=Портфель!F86*Портфель!G86/100*Портфель!$Q$13</f>
      </c>
      <c r="L369" s="6" t="s">
        <f>=(K369-J369)*E369</f>
      </c>
      <c r="M369" s="6" t="s">
        <f>=MAX(0,L369*0.13)</f>
      </c>
    </row>
    <row collapsed="false" customFormat="false" customHeight="false" hidden="false" ht="12.1" outlineLevel="0" r="370">
      <c r="A370" s="36" t="n">
        <v>45729</v>
      </c>
      <c r="B370" s="2" t="s">
        <v>1163</v>
      </c>
      <c r="C370" s="2" t="s">
        <v>258</v>
      </c>
      <c r="D370" s="2" t="s">
        <v>259</v>
      </c>
      <c r="E370" s="17" t="n">
        <v>1</v>
      </c>
      <c r="F370" s="7" t="s">
        <f>=DATEDIF(A370,$N$2,"y")</f>
      </c>
      <c r="G370" s="7" t="s">
        <f>=DATEDIF(A370,$N$2,"ym")</f>
      </c>
      <c r="H370" s="7" t="s">
        <f>=DATEDIF(A370,$N$2,"md")</f>
      </c>
      <c r="I370" s="7" t="n">
        <v>84</v>
      </c>
      <c r="J370" s="17" t="n">
        <v>861.06</v>
      </c>
      <c r="K370" s="6" t="s">
        <f>=Портфель!F87*Портфель!G87/100*Портфель!$Q$13</f>
      </c>
      <c r="L370" s="6" t="s">
        <f>=(K370-J370)*E370</f>
      </c>
      <c r="M370" s="6" t="s">
        <f>=MAX(0,L370*0.13)</f>
      </c>
    </row>
    <row collapsed="false" customFormat="false" customHeight="false" hidden="false" ht="12.1" outlineLevel="0" r="371">
      <c r="A371" s="36" t="n">
        <v>45541</v>
      </c>
      <c r="B371" s="2" t="s">
        <v>1163</v>
      </c>
      <c r="C371" s="2" t="s">
        <v>261</v>
      </c>
      <c r="D371" s="2" t="s">
        <v>262</v>
      </c>
      <c r="E371" s="17" t="n">
        <v>1</v>
      </c>
      <c r="F371" s="7" t="s">
        <f>=DATEDIF(A371,$N$2,"y")</f>
      </c>
      <c r="G371" s="7" t="s">
        <f>=DATEDIF(A371,$N$2,"ym")</f>
      </c>
      <c r="H371" s="7" t="s">
        <f>=DATEDIF(A371,$N$2,"md")</f>
      </c>
      <c r="I371" s="7" t="n">
        <v>272</v>
      </c>
      <c r="J371" s="17" t="n">
        <v>860.66</v>
      </c>
      <c r="K371" s="6" t="s">
        <f>=Портфель!F88*Портфель!G88/100*Портфель!$Q$13</f>
      </c>
      <c r="L371" s="6" t="s">
        <f>=(K371-J371)*E371</f>
      </c>
      <c r="M371" s="6" t="s">
        <f>=MAX(0,L371*0.13)</f>
      </c>
    </row>
    <row collapsed="false" customFormat="false" customHeight="false" hidden="false" ht="12.1" outlineLevel="0" r="372">
      <c r="A372" s="36" t="n">
        <v>45541</v>
      </c>
      <c r="B372" s="2" t="s">
        <v>1163</v>
      </c>
      <c r="C372" s="2" t="s">
        <v>264</v>
      </c>
      <c r="D372" s="2" t="s">
        <v>265</v>
      </c>
      <c r="E372" s="17" t="n">
        <v>1</v>
      </c>
      <c r="F372" s="7" t="s">
        <f>=DATEDIF(A372,$N$2,"y")</f>
      </c>
      <c r="G372" s="7" t="s">
        <f>=DATEDIF(A372,$N$2,"ym")</f>
      </c>
      <c r="H372" s="7" t="s">
        <f>=DATEDIF(A372,$N$2,"md")</f>
      </c>
      <c r="I372" s="7" t="n">
        <v>272</v>
      </c>
      <c r="J372" s="17" t="n">
        <v>842.03</v>
      </c>
      <c r="K372" s="6" t="s">
        <f>=Портфель!F89*Портфель!G89/100*Портфель!$Q$13</f>
      </c>
      <c r="L372" s="6" t="s">
        <f>=(K372-J372)*E372</f>
      </c>
      <c r="M372" s="6" t="s">
        <f>=MAX(0,L372*0.13)</f>
      </c>
    </row>
    <row collapsed="false" customFormat="false" customHeight="false" hidden="false" ht="12.1" outlineLevel="0" r="373">
      <c r="A373" s="36" t="n">
        <v>45729</v>
      </c>
      <c r="B373" s="2" t="s">
        <v>1163</v>
      </c>
      <c r="C373" s="2" t="s">
        <v>267</v>
      </c>
      <c r="D373" s="2" t="s">
        <v>268</v>
      </c>
      <c r="E373" s="17" t="n">
        <v>1</v>
      </c>
      <c r="F373" s="7" t="s">
        <f>=DATEDIF(A373,$N$2,"y")</f>
      </c>
      <c r="G373" s="7" t="s">
        <f>=DATEDIF(A373,$N$2,"ym")</f>
      </c>
      <c r="H373" s="7" t="s">
        <f>=DATEDIF(A373,$N$2,"md")</f>
      </c>
      <c r="I373" s="7" t="n">
        <v>84</v>
      </c>
      <c r="J373" s="17" t="n">
        <v>916.86</v>
      </c>
      <c r="K373" s="6" t="s">
        <f>=Портфель!F90*Портфель!G90/100*Портфель!$Q$13</f>
      </c>
      <c r="L373" s="6" t="s">
        <f>=(K373-J373)*E373</f>
      </c>
      <c r="M373" s="6" t="s">
        <f>=MAX(0,L373*0.13)</f>
      </c>
    </row>
    <row collapsed="false" customFormat="false" customHeight="false" hidden="false" ht="12.1" outlineLevel="0" r="374">
      <c r="A374" s="36" t="n">
        <v>45082</v>
      </c>
      <c r="B374" s="2" t="s">
        <v>1163</v>
      </c>
      <c r="C374" s="2" t="s">
        <v>270</v>
      </c>
      <c r="D374" s="2" t="s">
        <v>271</v>
      </c>
      <c r="E374" s="17" t="n">
        <v>1</v>
      </c>
      <c r="F374" s="7" t="s">
        <f>=DATEDIF(A374,$N$2,"y")</f>
      </c>
      <c r="G374" s="7" t="s">
        <f>=DATEDIF(A374,$N$2,"ym")</f>
      </c>
      <c r="H374" s="7" t="s">
        <f>=DATEDIF(A374,$N$2,"md")</f>
      </c>
      <c r="I374" s="7" t="n">
        <v>731</v>
      </c>
      <c r="J374" s="17" t="n">
        <v>988.22</v>
      </c>
      <c r="K374" s="6" t="s">
        <f>=Портфель!F91*Портфель!G91/100*Портфель!$Q$13</f>
      </c>
      <c r="L374" s="6" t="s">
        <f>=(K374-J374)*E374</f>
      </c>
      <c r="M374" s="6" t="s">
        <f>=MAX(0,L374*0.13)</f>
      </c>
    </row>
    <row collapsed="false" customFormat="false" customHeight="false" hidden="false" ht="12.1" outlineLevel="0" r="375">
      <c r="A375" s="36" t="n">
        <v>45670</v>
      </c>
      <c r="B375" s="2" t="s">
        <v>1163</v>
      </c>
      <c r="C375" s="2" t="s">
        <v>273</v>
      </c>
      <c r="D375" s="2" t="s">
        <v>274</v>
      </c>
      <c r="E375" s="17" t="n">
        <v>1</v>
      </c>
      <c r="F375" s="7" t="s">
        <f>=DATEDIF(A375,$N$2,"y")</f>
      </c>
      <c r="G375" s="7" t="s">
        <f>=DATEDIF(A375,$N$2,"ym")</f>
      </c>
      <c r="H375" s="7" t="s">
        <f>=DATEDIF(A375,$N$2,"md")</f>
      </c>
      <c r="I375" s="7" t="n">
        <v>143</v>
      </c>
      <c r="J375" s="17" t="n">
        <v>944.09</v>
      </c>
      <c r="K375" s="6" t="s">
        <f>=Портфель!F92*Портфель!G92/100*Портфель!$Q$13</f>
      </c>
      <c r="L375" s="6" t="s">
        <f>=(K375-J375)*E375</f>
      </c>
      <c r="M375" s="6" t="s">
        <f>=MAX(0,L375*0.13)</f>
      </c>
    </row>
    <row collapsed="false" customFormat="false" customHeight="false" hidden="false" ht="12.1" outlineLevel="0" r="376">
      <c r="A376" s="36" t="n">
        <v>44866</v>
      </c>
      <c r="B376" s="2" t="s">
        <v>1163</v>
      </c>
      <c r="C376" s="2" t="s">
        <v>276</v>
      </c>
      <c r="D376" s="2" t="s">
        <v>277</v>
      </c>
      <c r="E376" s="17" t="n">
        <v>1</v>
      </c>
      <c r="F376" s="7" t="s">
        <f>=DATEDIF(A376,$N$2,"y")</f>
      </c>
      <c r="G376" s="7" t="s">
        <f>=DATEDIF(A376,$N$2,"ym")</f>
      </c>
      <c r="H376" s="7" t="s">
        <f>=DATEDIF(A376,$N$2,"md")</f>
      </c>
      <c r="I376" s="7" t="n">
        <v>947</v>
      </c>
      <c r="J376" s="17" t="n">
        <v>1028.46</v>
      </c>
      <c r="K376" s="6" t="s">
        <f>=Портфель!F93*Портфель!G93/100*Портфель!$Q$13</f>
      </c>
      <c r="L376" s="6" t="s">
        <f>=(K376-J376)*E376</f>
      </c>
      <c r="M376" s="6" t="s">
        <f>=MAX(0,L376*0.13)</f>
      </c>
    </row>
    <row collapsed="false" customFormat="false" customHeight="false" hidden="false" ht="12.1" outlineLevel="0" r="377">
      <c r="A377" s="36" t="n">
        <v>44862</v>
      </c>
      <c r="B377" s="2" t="s">
        <v>1163</v>
      </c>
      <c r="C377" s="2" t="s">
        <v>279</v>
      </c>
      <c r="D377" s="2" t="s">
        <v>280</v>
      </c>
      <c r="E377" s="17" t="n">
        <v>1</v>
      </c>
      <c r="F377" s="7" t="s">
        <f>=DATEDIF(A377,$N$2,"y")</f>
      </c>
      <c r="G377" s="7" t="s">
        <f>=DATEDIF(A377,$N$2,"ym")</f>
      </c>
      <c r="H377" s="7" t="s">
        <f>=DATEDIF(A377,$N$2,"md")</f>
      </c>
      <c r="I377" s="7" t="n">
        <v>951</v>
      </c>
      <c r="J377" s="17" t="n">
        <v>957.61</v>
      </c>
      <c r="K377" s="6" t="s">
        <f>=Портфель!F94*Портфель!G94/100*Портфель!$Q$13</f>
      </c>
      <c r="L377" s="6" t="s">
        <f>=(K377-J377)*E377</f>
      </c>
      <c r="M377" s="6" t="s">
        <f>=MAX(0,L377*0.13)</f>
      </c>
    </row>
    <row collapsed="false" customFormat="false" customHeight="false" hidden="false" ht="12.1" outlineLevel="0" r="378">
      <c r="A378" s="36" t="n">
        <v>45729</v>
      </c>
      <c r="B378" s="2" t="s">
        <v>1163</v>
      </c>
      <c r="C378" s="2" t="s">
        <v>282</v>
      </c>
      <c r="D378" s="2" t="s">
        <v>283</v>
      </c>
      <c r="E378" s="17" t="n">
        <v>1</v>
      </c>
      <c r="F378" s="7" t="s">
        <f>=DATEDIF(A378,$N$2,"y")</f>
      </c>
      <c r="G378" s="7" t="s">
        <f>=DATEDIF(A378,$N$2,"ym")</f>
      </c>
      <c r="H378" s="7" t="s">
        <f>=DATEDIF(A378,$N$2,"md")</f>
      </c>
      <c r="I378" s="7" t="n">
        <v>84</v>
      </c>
      <c r="J378" s="17" t="n">
        <v>894.46</v>
      </c>
      <c r="K378" s="6" t="s">
        <f>=Портфель!F95*Портфель!G95/100*Портфель!$Q$13</f>
      </c>
      <c r="L378" s="6" t="s">
        <f>=(K378-J378)*E378</f>
      </c>
      <c r="M378" s="6" t="s">
        <f>=MAX(0,L378*0.13)</f>
      </c>
    </row>
    <row collapsed="false" customFormat="false" customHeight="false" hidden="false" ht="12.1" outlineLevel="0" r="379">
      <c r="A379" s="36" t="n">
        <v>45541</v>
      </c>
      <c r="B379" s="2" t="s">
        <v>1163</v>
      </c>
      <c r="C379" s="2" t="s">
        <v>285</v>
      </c>
      <c r="D379" s="2" t="s">
        <v>286</v>
      </c>
      <c r="E379" s="17" t="n">
        <v>1</v>
      </c>
      <c r="F379" s="7" t="s">
        <f>=DATEDIF(A379,$N$2,"y")</f>
      </c>
      <c r="G379" s="7" t="s">
        <f>=DATEDIF(A379,$N$2,"ym")</f>
      </c>
      <c r="H379" s="7" t="s">
        <f>=DATEDIF(A379,$N$2,"md")</f>
      </c>
      <c r="I379" s="7" t="n">
        <v>272</v>
      </c>
      <c r="J379" s="17" t="n">
        <v>878.93</v>
      </c>
      <c r="K379" s="6" t="s">
        <f>=Портфель!F96*Портфель!G96/100*Портфель!$Q$13</f>
      </c>
      <c r="L379" s="6" t="s">
        <f>=(K379-J379)*E379</f>
      </c>
      <c r="M379" s="6" t="s">
        <f>=MAX(0,L379*0.13)</f>
      </c>
    </row>
    <row collapsed="false" customFormat="false" customHeight="false" hidden="false" ht="12.1" outlineLevel="0" r="380">
      <c r="A380" s="36" t="n">
        <v>45082</v>
      </c>
      <c r="B380" s="2" t="s">
        <v>1163</v>
      </c>
      <c r="C380" s="2" t="s">
        <v>288</v>
      </c>
      <c r="D380" s="2" t="s">
        <v>289</v>
      </c>
      <c r="E380" s="17" t="n">
        <v>1</v>
      </c>
      <c r="F380" s="7" t="s">
        <f>=DATEDIF(A380,$N$2,"y")</f>
      </c>
      <c r="G380" s="7" t="s">
        <f>=DATEDIF(A380,$N$2,"ym")</f>
      </c>
      <c r="H380" s="7" t="s">
        <f>=DATEDIF(A380,$N$2,"md")</f>
      </c>
      <c r="I380" s="7" t="n">
        <v>731</v>
      </c>
      <c r="J380" s="17" t="n">
        <v>901.24</v>
      </c>
      <c r="K380" s="6" t="s">
        <f>=Портфель!F97*Портфель!G97/100*Портфель!$Q$13</f>
      </c>
      <c r="L380" s="6" t="s">
        <f>=(K380-J380)*E380</f>
      </c>
      <c r="M380" s="6" t="s">
        <f>=MAX(0,L380*0.13)</f>
      </c>
    </row>
    <row collapsed="false" customFormat="false" customHeight="false" hidden="false" ht="12.1" outlineLevel="0" r="381">
      <c r="A381" s="36" t="n">
        <v>44929</v>
      </c>
      <c r="B381" s="2" t="s">
        <v>1163</v>
      </c>
      <c r="C381" s="2" t="s">
        <v>291</v>
      </c>
      <c r="D381" s="2" t="s">
        <v>292</v>
      </c>
      <c r="E381" s="17" t="n">
        <v>1</v>
      </c>
      <c r="F381" s="7" t="s">
        <f>=DATEDIF(A381,$N$2,"y")</f>
      </c>
      <c r="G381" s="7" t="s">
        <f>=DATEDIF(A381,$N$2,"ym")</f>
      </c>
      <c r="H381" s="7" t="s">
        <f>=DATEDIF(A381,$N$2,"md")</f>
      </c>
      <c r="I381" s="7" t="n">
        <v>884</v>
      </c>
      <c r="J381" s="17" t="n">
        <v>1028.37</v>
      </c>
      <c r="K381" s="6" t="s">
        <f>=Портфель!F98*Портфель!G98/100*Портфель!$Q$13</f>
      </c>
      <c r="L381" s="6" t="s">
        <f>=(K381-J381)*E381</f>
      </c>
      <c r="M381" s="6" t="s">
        <f>=MAX(0,L381*0.13)</f>
      </c>
    </row>
    <row collapsed="false" customFormat="false" customHeight="false" hidden="false" ht="12.1" outlineLevel="0" r="382">
      <c r="A382" s="36" t="n">
        <v>45541</v>
      </c>
      <c r="B382" s="2" t="s">
        <v>1163</v>
      </c>
      <c r="C382" s="2" t="s">
        <v>294</v>
      </c>
      <c r="D382" s="2" t="s">
        <v>295</v>
      </c>
      <c r="E382" s="17" t="n">
        <v>1</v>
      </c>
      <c r="F382" s="7" t="s">
        <f>=DATEDIF(A382,$N$2,"y")</f>
      </c>
      <c r="G382" s="7" t="s">
        <f>=DATEDIF(A382,$N$2,"ym")</f>
      </c>
      <c r="H382" s="7" t="s">
        <f>=DATEDIF(A382,$N$2,"md")</f>
      </c>
      <c r="I382" s="7" t="n">
        <v>272</v>
      </c>
      <c r="J382" s="17" t="n">
        <v>823.95</v>
      </c>
      <c r="K382" s="6" t="s">
        <f>=Портфель!F99*Портфель!G99/100*Портфель!$Q$13</f>
      </c>
      <c r="L382" s="6" t="s">
        <f>=(K382-J382)*E382</f>
      </c>
      <c r="M382" s="6" t="s">
        <f>=MAX(0,L382*0.13)</f>
      </c>
    </row>
    <row collapsed="false" customFormat="false" customHeight="false" hidden="false" ht="12.1" outlineLevel="0" r="383">
      <c r="A383" s="36" t="n">
        <v>45541</v>
      </c>
      <c r="B383" s="2" t="s">
        <v>1163</v>
      </c>
      <c r="C383" s="2" t="s">
        <v>297</v>
      </c>
      <c r="D383" s="2" t="s">
        <v>298</v>
      </c>
      <c r="E383" s="17" t="n">
        <v>1</v>
      </c>
      <c r="F383" s="7" t="s">
        <f>=DATEDIF(A383,$N$2,"y")</f>
      </c>
      <c r="G383" s="7" t="s">
        <f>=DATEDIF(A383,$N$2,"ym")</f>
      </c>
      <c r="H383" s="7" t="s">
        <f>=DATEDIF(A383,$N$2,"md")</f>
      </c>
      <c r="I383" s="7" t="n">
        <v>272</v>
      </c>
      <c r="J383" s="17" t="n">
        <v>798.02</v>
      </c>
      <c r="K383" s="6" t="s">
        <f>=Портфель!F100*Портфель!G100/100*Портфель!$Q$13</f>
      </c>
      <c r="L383" s="6" t="s">
        <f>=(K383-J383)*E383</f>
      </c>
      <c r="M383" s="6" t="s">
        <f>=MAX(0,L383*0.13)</f>
      </c>
    </row>
    <row collapsed="false" customFormat="false" customHeight="false" hidden="false" ht="12.1" outlineLevel="0" r="384">
      <c r="A384" s="36" t="n">
        <v>45776</v>
      </c>
      <c r="B384" s="2" t="s">
        <v>1163</v>
      </c>
      <c r="C384" s="2" t="s">
        <v>300</v>
      </c>
      <c r="D384" s="2" t="s">
        <v>301</v>
      </c>
      <c r="E384" s="17" t="n">
        <v>1</v>
      </c>
      <c r="F384" s="7" t="s">
        <f>=DATEDIF(A384,$N$2,"y")</f>
      </c>
      <c r="G384" s="7" t="s">
        <f>=DATEDIF(A384,$N$2,"ym")</f>
      </c>
      <c r="H384" s="7" t="s">
        <f>=DATEDIF(A384,$N$2,"md")</f>
      </c>
      <c r="I384" s="7" t="n">
        <v>37</v>
      </c>
      <c r="J384" s="17" t="n">
        <v>831.81</v>
      </c>
      <c r="K384" s="6" t="s">
        <f>=Портфель!F101*Портфель!G101/100*Портфель!$Q$13</f>
      </c>
      <c r="L384" s="6" t="s">
        <f>=(K384-J384)*E384</f>
      </c>
      <c r="M384" s="6" t="s">
        <f>=MAX(0,L384*0.13)</f>
      </c>
    </row>
    <row collapsed="false" customFormat="false" customHeight="false" hidden="false" ht="12.1" outlineLevel="0" r="385">
      <c r="A385" s="36" t="n">
        <v>45541</v>
      </c>
      <c r="B385" s="2" t="s">
        <v>1163</v>
      </c>
      <c r="C385" s="2" t="s">
        <v>303</v>
      </c>
      <c r="D385" s="2" t="s">
        <v>304</v>
      </c>
      <c r="E385" s="17" t="n">
        <v>1</v>
      </c>
      <c r="F385" s="7" t="s">
        <f>=DATEDIF(A385,$N$2,"y")</f>
      </c>
      <c r="G385" s="7" t="s">
        <f>=DATEDIF(A385,$N$2,"ym")</f>
      </c>
      <c r="H385" s="7" t="s">
        <f>=DATEDIF(A385,$N$2,"md")</f>
      </c>
      <c r="I385" s="7" t="n">
        <v>272</v>
      </c>
      <c r="J385" s="17" t="n">
        <v>737.17</v>
      </c>
      <c r="K385" s="6" t="s">
        <f>=Портфель!F102*Портфель!G102/100*Портфель!$Q$13</f>
      </c>
      <c r="L385" s="6" t="s">
        <f>=(K385-J385)*E385</f>
      </c>
      <c r="M385" s="6" t="s">
        <f>=MAX(0,L385*0.13)</f>
      </c>
    </row>
    <row collapsed="false" customFormat="false" customHeight="false" hidden="false" ht="12.1" outlineLevel="0" r="386">
      <c r="A386" s="36" t="n">
        <v>44860</v>
      </c>
      <c r="B386" s="2" t="s">
        <v>1163</v>
      </c>
      <c r="C386" s="2" t="s">
        <v>306</v>
      </c>
      <c r="D386" s="2" t="s">
        <v>307</v>
      </c>
      <c r="E386" s="17" t="n">
        <v>1</v>
      </c>
      <c r="F386" s="7" t="s">
        <f>=DATEDIF(A386,$N$2,"y")</f>
      </c>
      <c r="G386" s="7" t="s">
        <f>=DATEDIF(A386,$N$2,"ym")</f>
      </c>
      <c r="H386" s="7" t="s">
        <f>=DATEDIF(A386,$N$2,"md")</f>
      </c>
      <c r="I386" s="7" t="n">
        <v>953</v>
      </c>
      <c r="J386" s="17" t="n">
        <v>913.22</v>
      </c>
      <c r="K386" s="6" t="s">
        <f>=Портфель!F103*Портфель!G103/100*Портфель!$Q$13</f>
      </c>
      <c r="L386" s="6" t="s">
        <f>=(K386-J386)*E386</f>
      </c>
      <c r="M386" s="6" t="s">
        <f>=MAX(0,L386*0.13)</f>
      </c>
    </row>
    <row collapsed="false" customFormat="false" customHeight="false" hidden="false" ht="12.1" outlineLevel="0" r="387">
      <c r="A387" s="36" t="n">
        <v>45267</v>
      </c>
      <c r="B387" s="2" t="s">
        <v>1163</v>
      </c>
      <c r="C387" s="2" t="s">
        <v>308</v>
      </c>
      <c r="D387" s="2" t="s">
        <v>309</v>
      </c>
      <c r="E387" s="17" t="n">
        <v>1</v>
      </c>
      <c r="F387" s="7" t="s">
        <f>=DATEDIF(A387,$N$2,"y")</f>
      </c>
      <c r="G387" s="7" t="s">
        <f>=DATEDIF(A387,$N$2,"ym")</f>
      </c>
      <c r="H387" s="7" t="s">
        <f>=DATEDIF(A387,$N$2,"md")</f>
      </c>
      <c r="I387" s="7" t="n">
        <v>546</v>
      </c>
      <c r="J387" s="17" t="n">
        <v>995.68</v>
      </c>
      <c r="K387" s="6" t="s">
        <f>=Портфель!F104*Портфель!G104/100*Портфель!$Q$13</f>
      </c>
      <c r="L387" s="6" t="s">
        <f>=(K387-J387)*E387</f>
      </c>
      <c r="M387" s="6" t="s">
        <f>=MAX(0,L387*0.13)</f>
      </c>
    </row>
    <row collapsed="false" customFormat="false" customHeight="false" hidden="false" ht="12.1" outlineLevel="0" r="388">
      <c r="A388" s="36" t="n">
        <v>45026</v>
      </c>
      <c r="B388" s="2" t="s">
        <v>1163</v>
      </c>
      <c r="C388" s="2" t="s">
        <v>311</v>
      </c>
      <c r="D388" s="2" t="s">
        <v>312</v>
      </c>
      <c r="E388" s="17" t="n">
        <v>1</v>
      </c>
      <c r="F388" s="7" t="s">
        <f>=DATEDIF(A388,$N$2,"y")</f>
      </c>
      <c r="G388" s="7" t="s">
        <f>=DATEDIF(A388,$N$2,"ym")</f>
      </c>
      <c r="H388" s="7" t="s">
        <f>=DATEDIF(A388,$N$2,"md")</f>
      </c>
      <c r="I388" s="7" t="n">
        <v>787</v>
      </c>
      <c r="J388" s="17" t="n">
        <v>566.27</v>
      </c>
      <c r="K388" s="6" t="s">
        <f>=Портфель!F105*Портфель!G105/100*Портфель!$Q$13</f>
      </c>
      <c r="L388" s="6" t="s">
        <f>=(K388-J388)*E388</f>
      </c>
      <c r="M388" s="6" t="s">
        <f>=MAX(0,L388*0.13)</f>
      </c>
    </row>
    <row collapsed="false" customFormat="false" customHeight="false" hidden="false" ht="12.1" outlineLevel="0" r="389">
      <c r="A389" s="36" t="n">
        <v>45356</v>
      </c>
      <c r="B389" s="2" t="s">
        <v>1163</v>
      </c>
      <c r="C389" s="2" t="s">
        <v>314</v>
      </c>
      <c r="D389" s="2" t="s">
        <v>315</v>
      </c>
      <c r="E389" s="17" t="n">
        <v>1</v>
      </c>
      <c r="F389" s="7" t="s">
        <f>=DATEDIF(A389,$N$2,"y")</f>
      </c>
      <c r="G389" s="7" t="s">
        <f>=DATEDIF(A389,$N$2,"ym")</f>
      </c>
      <c r="H389" s="7" t="s">
        <f>=DATEDIF(A389,$N$2,"md")</f>
      </c>
      <c r="I389" s="7" t="n">
        <v>457</v>
      </c>
      <c r="J389" s="17" t="n">
        <v>264.52</v>
      </c>
      <c r="K389" s="6" t="s">
        <f>=Портфель!F106*Портфель!G106/100*Портфель!$Q$13</f>
      </c>
      <c r="L389" s="6" t="s">
        <f>=(K389-J389)*E389</f>
      </c>
      <c r="M389" s="6" t="s">
        <f>=MAX(0,L389*0.13)</f>
      </c>
    </row>
    <row collapsed="false" customFormat="false" customHeight="false" hidden="false" ht="12.1" outlineLevel="0" r="390">
      <c r="A390" s="36" t="n">
        <v>45356</v>
      </c>
      <c r="B390" s="2" t="s">
        <v>1163</v>
      </c>
      <c r="C390" s="2" t="s">
        <v>317</v>
      </c>
      <c r="D390" s="2" t="s">
        <v>318</v>
      </c>
      <c r="E390" s="17" t="n">
        <v>1</v>
      </c>
      <c r="F390" s="7" t="s">
        <f>=DATEDIF(A390,$N$2,"y")</f>
      </c>
      <c r="G390" s="7" t="s">
        <f>=DATEDIF(A390,$N$2,"ym")</f>
      </c>
      <c r="H390" s="7" t="s">
        <f>=DATEDIF(A390,$N$2,"md")</f>
      </c>
      <c r="I390" s="7" t="n">
        <v>457</v>
      </c>
      <c r="J390" s="17" t="n">
        <v>587.34</v>
      </c>
      <c r="K390" s="6" t="s">
        <f>=Портфель!F107*Портфель!G107/100*Портфель!$Q$13</f>
      </c>
      <c r="L390" s="6" t="s">
        <f>=(K390-J390)*E390</f>
      </c>
      <c r="M390" s="6" t="s">
        <f>=MAX(0,L390*0.13)</f>
      </c>
    </row>
    <row collapsed="false" customFormat="false" customHeight="false" hidden="false" ht="12.1" outlineLevel="0" r="391">
      <c r="A391" s="36" t="n">
        <v>44694</v>
      </c>
      <c r="B391" s="2" t="s">
        <v>1163</v>
      </c>
      <c r="C391" s="2" t="s">
        <v>320</v>
      </c>
      <c r="D391" s="2" t="s">
        <v>321</v>
      </c>
      <c r="E391" s="17" t="n">
        <v>1</v>
      </c>
      <c r="F391" s="7" t="s">
        <f>=DATEDIF(A391,$N$2,"y")</f>
      </c>
      <c r="G391" s="7" t="s">
        <f>=DATEDIF(A391,$N$2,"ym")</f>
      </c>
      <c r="H391" s="7" t="s">
        <f>=DATEDIF(A391,$N$2,"md")</f>
      </c>
      <c r="I391" s="7" t="n">
        <v>1119</v>
      </c>
      <c r="J391" s="17" t="n">
        <v>842.45</v>
      </c>
      <c r="K391" s="6" t="s">
        <f>=Портфель!F108*Портфель!G108/100*Портфель!$Q$13</f>
      </c>
      <c r="L391" s="6" t="s">
        <f>=(K391-J391)*E391</f>
      </c>
      <c r="M391" s="6" t="s">
        <f>=MAX(0,L391*0.13)</f>
      </c>
    </row>
    <row collapsed="false" customFormat="false" customHeight="false" hidden="false" ht="12.1" outlineLevel="0" r="392">
      <c r="A392" s="36" t="n">
        <v>0</v>
      </c>
      <c r="B392" s="2" t="s">
        <v>13</v>
      </c>
      <c r="C392" s="2" t="s">
        <v>13</v>
      </c>
      <c r="D392" s="2" t="s">
        <v>13</v>
      </c>
      <c r="E392" s="17" t="n">
        <v> </v>
      </c>
      <c r="F392" s="7" t="n">
        <v> </v>
      </c>
      <c r="G392" s="17" t="n">
        <v> </v>
      </c>
      <c r="H392" s="2" t="s">
        <v>13</v>
      </c>
      <c r="I392" s="7" t="n">
        <v> </v>
      </c>
      <c r="J392" s="17" t="n">
        <v> </v>
      </c>
      <c r="K392" s="17" t="n">
        <v> </v>
      </c>
      <c r="L392" s="17" t="n">
        <v> </v>
      </c>
      <c r="M392" s="17" t="n">
        <v> </v>
      </c>
    </row>
    <row collapsed="false" customFormat="false" customHeight="false" hidden="false" ht="12.1" outlineLevel="0" r="393">
      <c r="A393" s="36"/>
      <c r="B393" s="2"/>
      <c r="C393" s="2"/>
      <c r="D393" s="2" t="s">
        <v>1179</v>
      </c>
      <c r="E393" s="17" t="n">
        <v> </v>
      </c>
      <c r="F393" s="7" t="n">
        <v> </v>
      </c>
      <c r="G393" s="17" t="n">
        <v> </v>
      </c>
      <c r="H393" s="2" t="s">
        <v>13</v>
      </c>
      <c r="I393" s="7" t="n">
        <v> </v>
      </c>
      <c r="J393" s="17" t="n">
        <v> </v>
      </c>
      <c r="K393" s="17" t="n">
        <v> </v>
      </c>
      <c r="L393" s="17" t="n">
        <v> </v>
      </c>
      <c r="M393" s="17" t="n">
        <v> </v>
      </c>
    </row>
  </sheetData>
  <autoFilter ref="A1:N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1180</v>
      </c>
      <c r="D1" s="34" t="s">
        <v>1181</v>
      </c>
      <c r="E1" s="34" t="s">
        <v>1157</v>
      </c>
      <c r="F1" s="34" t="s">
        <v>1182</v>
      </c>
      <c r="G1" s="34" t="s">
        <v>1154</v>
      </c>
      <c r="H1" s="34" t="s">
        <v>1183</v>
      </c>
      <c r="I1" s="34" t="s">
        <v>1184</v>
      </c>
      <c r="J1" s="34" t="s">
        <v>1185</v>
      </c>
      <c r="K1" s="34" t="s">
        <v>1186</v>
      </c>
    </row>
    <row collapsed="false" customFormat="false" customHeight="false" hidden="false" ht="12.1" outlineLevel="0" r="2">
      <c r="A2" s="2" t="s">
        <v>763</v>
      </c>
      <c r="B2" s="2" t="s">
        <v>1187</v>
      </c>
      <c r="C2" s="37" t="n">
        <v>44708</v>
      </c>
      <c r="D2" s="38" t="n">
        <v>45597</v>
      </c>
      <c r="E2" s="17" t="n">
        <v>396.69</v>
      </c>
      <c r="F2" s="17" t="n">
        <v>520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763</v>
      </c>
      <c r="B3" s="2" t="s">
        <v>1187</v>
      </c>
      <c r="C3" s="37" t="n">
        <v>44746</v>
      </c>
      <c r="D3" s="38" t="n">
        <v>45597</v>
      </c>
      <c r="E3" s="17" t="n">
        <v>314.44</v>
      </c>
      <c r="F3" s="17" t="n">
        <v>520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764</v>
      </c>
      <c r="B4" s="2" t="s">
        <v>1188</v>
      </c>
      <c r="C4" s="37" t="n">
        <v>44750</v>
      </c>
      <c r="D4" s="38" t="n">
        <v>45301</v>
      </c>
      <c r="E4" s="17" t="n">
        <v>313.34</v>
      </c>
      <c r="F4" s="17" t="n">
        <v>313.56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767</v>
      </c>
      <c r="B5" s="2" t="s">
        <v>1189</v>
      </c>
      <c r="C5" s="37" t="n">
        <v>45124</v>
      </c>
      <c r="D5" s="38" t="n">
        <v>45729</v>
      </c>
      <c r="E5" s="17" t="n">
        <v>6.1865</v>
      </c>
      <c r="F5" s="17" t="n">
        <v>1.7228</v>
      </c>
      <c r="G5" s="17" t="n">
        <v>100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2025-06-05T04:42:49.00Z</dcterms:created>
  <dc:creator>izi-invest.ru</dc:creator>
  <cp:revision>0</cp:revision>
</cp:coreProperties>
</file>